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samschweda/Documents/Board Meeting Docs/Cash Flow/"/>
    </mc:Choice>
  </mc:AlternateContent>
  <xr:revisionPtr revIDLastSave="0" documentId="13_ncr:1_{4F3C3D8D-6E6F-3240-99E3-7823067A57B2}" xr6:coauthVersionLast="47" xr6:coauthVersionMax="47" xr10:uidLastSave="{00000000-0000-0000-0000-000000000000}"/>
  <bookViews>
    <workbookView xWindow="1000" yWindow="1160" windowWidth="34940" windowHeight="19400" xr2:uid="{00000000-000D-0000-FFFF-FFFF00000000}"/>
  </bookViews>
  <sheets>
    <sheet name="Cash Flow-Jan Update" sheetId="4" r:id="rId1"/>
    <sheet name="Cash Flow" sheetId="1" r:id="rId2"/>
    <sheet name="ENTRY" sheetId="2" r:id="rId3"/>
    <sheet name="22-23 Exp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4" l="1"/>
  <c r="G54" i="4"/>
  <c r="G7" i="4"/>
  <c r="G40" i="4"/>
  <c r="G39" i="4"/>
  <c r="G33" i="4"/>
  <c r="G19" i="4" l="1"/>
  <c r="G25" i="4" s="1"/>
  <c r="G35" i="4" s="1"/>
  <c r="G14" i="4"/>
  <c r="O14" i="4" s="1"/>
  <c r="G42" i="4"/>
  <c r="O67" i="4"/>
  <c r="R69" i="4" s="1"/>
  <c r="F60" i="4"/>
  <c r="E60" i="4"/>
  <c r="D60" i="4"/>
  <c r="C46" i="4"/>
  <c r="N44" i="4"/>
  <c r="M44" i="4"/>
  <c r="L44" i="4"/>
  <c r="K44" i="4"/>
  <c r="J44" i="4"/>
  <c r="I44" i="4"/>
  <c r="H44" i="4"/>
  <c r="G44" i="4"/>
  <c r="E44" i="4"/>
  <c r="O42" i="4"/>
  <c r="F42" i="4"/>
  <c r="E42" i="4"/>
  <c r="O41" i="4"/>
  <c r="F40" i="4"/>
  <c r="E40" i="4"/>
  <c r="D40" i="4"/>
  <c r="C40" i="4"/>
  <c r="O40" i="4" s="1"/>
  <c r="F39" i="4"/>
  <c r="F44" i="4" s="1"/>
  <c r="E39" i="4"/>
  <c r="D39" i="4"/>
  <c r="D44" i="4" s="1"/>
  <c r="C39" i="4"/>
  <c r="C44" i="4" s="1"/>
  <c r="C37" i="4"/>
  <c r="E33" i="4"/>
  <c r="D33" i="4"/>
  <c r="C33" i="4"/>
  <c r="O33" i="4" s="1"/>
  <c r="AE33" i="4" s="1"/>
  <c r="F30" i="4"/>
  <c r="D30" i="4"/>
  <c r="O30" i="4" s="1"/>
  <c r="AE30" i="4" s="1"/>
  <c r="AE29" i="4"/>
  <c r="O29" i="4"/>
  <c r="AE28" i="4"/>
  <c r="O28" i="4"/>
  <c r="E27" i="4"/>
  <c r="O27" i="4" s="1"/>
  <c r="Q25" i="4"/>
  <c r="N25" i="4"/>
  <c r="N35" i="4" s="1"/>
  <c r="N48" i="4" s="1"/>
  <c r="M25" i="4"/>
  <c r="M35" i="4" s="1"/>
  <c r="M48" i="4" s="1"/>
  <c r="L25" i="4"/>
  <c r="L35" i="4" s="1"/>
  <c r="L48" i="4" s="1"/>
  <c r="K25" i="4"/>
  <c r="K35" i="4" s="1"/>
  <c r="K48" i="4" s="1"/>
  <c r="J25" i="4"/>
  <c r="J35" i="4" s="1"/>
  <c r="J48" i="4" s="1"/>
  <c r="I25" i="4"/>
  <c r="I35" i="4" s="1"/>
  <c r="I48" i="4" s="1"/>
  <c r="H25" i="4"/>
  <c r="H35" i="4" s="1"/>
  <c r="H48" i="4" s="1"/>
  <c r="O23" i="4"/>
  <c r="AE23" i="4" s="1"/>
  <c r="O22" i="4"/>
  <c r="R22" i="4" s="1"/>
  <c r="O21" i="4"/>
  <c r="AE21" i="4" s="1"/>
  <c r="O20" i="4"/>
  <c r="AE20" i="4" s="1"/>
  <c r="O19" i="4"/>
  <c r="O18" i="4"/>
  <c r="R18" i="4" s="1"/>
  <c r="O17" i="4"/>
  <c r="AE17" i="4" s="1"/>
  <c r="O16" i="4"/>
  <c r="AE16" i="4" s="1"/>
  <c r="O15" i="4"/>
  <c r="O13" i="4"/>
  <c r="AE13" i="4" s="1"/>
  <c r="O12" i="4"/>
  <c r="O11" i="4"/>
  <c r="R11" i="4" s="1"/>
  <c r="O10" i="4"/>
  <c r="O9" i="4"/>
  <c r="O8" i="4"/>
  <c r="AB7" i="4"/>
  <c r="Z7" i="4"/>
  <c r="F25" i="4"/>
  <c r="F35" i="4" s="1"/>
  <c r="E25" i="4"/>
  <c r="E35" i="4" s="1"/>
  <c r="E48" i="4" s="1"/>
  <c r="O7" i="4"/>
  <c r="C25" i="4"/>
  <c r="C5" i="4"/>
  <c r="F7" i="1"/>
  <c r="F30" i="1"/>
  <c r="F44" i="1"/>
  <c r="F39" i="1"/>
  <c r="F65" i="1"/>
  <c r="F40" i="1"/>
  <c r="E44" i="1"/>
  <c r="R34" i="1"/>
  <c r="F19" i="1"/>
  <c r="F14" i="1"/>
  <c r="F42" i="1"/>
  <c r="F10" i="1"/>
  <c r="F13" i="1"/>
  <c r="F8" i="1"/>
  <c r="D52" i="1"/>
  <c r="C52" i="1"/>
  <c r="G48" i="4" l="1"/>
  <c r="R20" i="4"/>
  <c r="R17" i="4"/>
  <c r="R21" i="4"/>
  <c r="R16" i="4"/>
  <c r="R8" i="4"/>
  <c r="AE8" i="4"/>
  <c r="AE12" i="4"/>
  <c r="R12" i="4"/>
  <c r="I45" i="4"/>
  <c r="AE15" i="4"/>
  <c r="R15" i="4"/>
  <c r="F48" i="4"/>
  <c r="AE19" i="4"/>
  <c r="R19" i="4"/>
  <c r="O44" i="4"/>
  <c r="Q44" i="4" s="1"/>
  <c r="N45" i="4"/>
  <c r="F45" i="4"/>
  <c r="L45" i="4"/>
  <c r="D45" i="4"/>
  <c r="K45" i="4"/>
  <c r="C45" i="4"/>
  <c r="AE14" i="4"/>
  <c r="R14" i="4"/>
  <c r="C35" i="4"/>
  <c r="C50" i="4" s="1"/>
  <c r="AE27" i="4"/>
  <c r="Q27" i="4"/>
  <c r="AE7" i="4"/>
  <c r="R7" i="4"/>
  <c r="AE9" i="4"/>
  <c r="R9" i="4"/>
  <c r="AE10" i="4"/>
  <c r="R10" i="4"/>
  <c r="AE11" i="4"/>
  <c r="AE18" i="4"/>
  <c r="AE22" i="4"/>
  <c r="O39" i="4"/>
  <c r="J45" i="4"/>
  <c r="R13" i="4"/>
  <c r="R34" i="4"/>
  <c r="E45" i="4"/>
  <c r="M45" i="4"/>
  <c r="D25" i="4"/>
  <c r="D35" i="4" s="1"/>
  <c r="D48" i="4" s="1"/>
  <c r="H45" i="4"/>
  <c r="F25" i="1"/>
  <c r="E7" i="1"/>
  <c r="D7" i="1"/>
  <c r="E45" i="1"/>
  <c r="E39" i="1"/>
  <c r="E33" i="1"/>
  <c r="O46" i="4" l="1"/>
  <c r="O25" i="4"/>
  <c r="AE35" i="4"/>
  <c r="O66" i="4" s="1"/>
  <c r="C54" i="4"/>
  <c r="D50" i="4"/>
  <c r="C52" i="4"/>
  <c r="D5" i="4"/>
  <c r="E59" i="4"/>
  <c r="E62" i="4" s="1"/>
  <c r="H60" i="4"/>
  <c r="C48" i="4"/>
  <c r="O35" i="4"/>
  <c r="D59" i="4"/>
  <c r="D62" i="4" s="1"/>
  <c r="C59" i="4"/>
  <c r="C62" i="4" s="1"/>
  <c r="F59" i="4"/>
  <c r="F62" i="4" s="1"/>
  <c r="E40" i="1"/>
  <c r="E27" i="1"/>
  <c r="E42" i="1"/>
  <c r="O42" i="1" s="1"/>
  <c r="E19" i="1"/>
  <c r="E15" i="1"/>
  <c r="E14" i="1"/>
  <c r="E13" i="1"/>
  <c r="E10" i="1"/>
  <c r="E8" i="1"/>
  <c r="D39" i="1"/>
  <c r="D30" i="1"/>
  <c r="D40" i="1"/>
  <c r="D33" i="1"/>
  <c r="D19" i="1"/>
  <c r="D15" i="1"/>
  <c r="C15" i="1"/>
  <c r="D14" i="1"/>
  <c r="D13" i="1"/>
  <c r="D9" i="1"/>
  <c r="D8" i="1"/>
  <c r="C13" i="1"/>
  <c r="C12" i="1"/>
  <c r="C11" i="1"/>
  <c r="C9" i="1"/>
  <c r="C8" i="1"/>
  <c r="C7" i="1"/>
  <c r="C44" i="1"/>
  <c r="C40" i="1"/>
  <c r="C39" i="1"/>
  <c r="C19" i="1"/>
  <c r="C33" i="1"/>
  <c r="C5" i="1"/>
  <c r="E18" i="2"/>
  <c r="C46" i="1"/>
  <c r="I60" i="4" l="1"/>
  <c r="H59" i="4"/>
  <c r="H62" i="4" s="1"/>
  <c r="O48" i="4"/>
  <c r="O50" i="4" s="1"/>
  <c r="O37" i="4"/>
  <c r="X35" i="4"/>
  <c r="D54" i="4"/>
  <c r="E50" i="4"/>
  <c r="E5" i="4"/>
  <c r="D52" i="4"/>
  <c r="T69" i="4"/>
  <c r="O69" i="4"/>
  <c r="C45" i="1"/>
  <c r="C37" i="1"/>
  <c r="F50" i="4" l="1"/>
  <c r="E52" i="4"/>
  <c r="E54" i="4"/>
  <c r="F5" i="4"/>
  <c r="O52" i="4"/>
  <c r="O54" i="4"/>
  <c r="J60" i="4"/>
  <c r="I59" i="4"/>
  <c r="I62" i="4" s="1"/>
  <c r="C13" i="2"/>
  <c r="C12" i="2"/>
  <c r="C11" i="2"/>
  <c r="C10" i="2"/>
  <c r="C9" i="2"/>
  <c r="C8" i="2"/>
  <c r="C7" i="2"/>
  <c r="C6" i="2"/>
  <c r="C5" i="2"/>
  <c r="C4" i="2"/>
  <c r="C3" i="2"/>
  <c r="O67" i="1"/>
  <c r="R69" i="1" s="1"/>
  <c r="K60" i="4" l="1"/>
  <c r="J59" i="4"/>
  <c r="J62" i="4" s="1"/>
  <c r="F52" i="4"/>
  <c r="G5" i="4"/>
  <c r="F54" i="4"/>
  <c r="G50" i="4"/>
  <c r="AE28" i="1"/>
  <c r="AB7" i="1"/>
  <c r="Z7" i="1"/>
  <c r="G52" i="4" l="1"/>
  <c r="H5" i="4"/>
  <c r="H50" i="4"/>
  <c r="K59" i="4"/>
  <c r="K62" i="4" s="1"/>
  <c r="L60" i="4"/>
  <c r="F60" i="1"/>
  <c r="G60" i="1" s="1"/>
  <c r="H60" i="1" s="1"/>
  <c r="I60" i="1" s="1"/>
  <c r="J60" i="1" s="1"/>
  <c r="K60" i="1" s="1"/>
  <c r="L60" i="1" s="1"/>
  <c r="E60" i="1"/>
  <c r="D60" i="1"/>
  <c r="L59" i="4" l="1"/>
  <c r="L62" i="4" s="1"/>
  <c r="M60" i="4"/>
  <c r="H52" i="4"/>
  <c r="I5" i="4"/>
  <c r="H54" i="4"/>
  <c r="I50" i="4"/>
  <c r="M60" i="1"/>
  <c r="I52" i="4" l="1"/>
  <c r="J5" i="4"/>
  <c r="I54" i="4"/>
  <c r="J50" i="4"/>
  <c r="M59" i="4"/>
  <c r="M62" i="4" s="1"/>
  <c r="N60" i="4"/>
  <c r="N60" i="1"/>
  <c r="Q60" i="1" s="1"/>
  <c r="N59" i="4" l="1"/>
  <c r="N62" i="4" s="1"/>
  <c r="Q60" i="4"/>
  <c r="Q59" i="4"/>
  <c r="Q62" i="4" s="1"/>
  <c r="K5" i="4"/>
  <c r="J54" i="4"/>
  <c r="K50" i="4"/>
  <c r="J52" i="4"/>
  <c r="O30" i="1"/>
  <c r="AE30" i="1" s="1"/>
  <c r="K54" i="4" l="1"/>
  <c r="L50" i="4"/>
  <c r="K52" i="4"/>
  <c r="L5" i="4"/>
  <c r="E25" i="1"/>
  <c r="L54" i="4" l="1"/>
  <c r="M50" i="4"/>
  <c r="M5" i="4"/>
  <c r="L52" i="4"/>
  <c r="O23" i="1"/>
  <c r="AE23" i="1" s="1"/>
  <c r="N50" i="4" l="1"/>
  <c r="N5" i="4"/>
  <c r="M52" i="4"/>
  <c r="M54" i="4"/>
  <c r="O20" i="1"/>
  <c r="O21" i="1"/>
  <c r="O22" i="1"/>
  <c r="O29" i="1"/>
  <c r="AE29" i="1" s="1"/>
  <c r="N52" i="4" l="1"/>
  <c r="R44" i="4" s="1"/>
  <c r="N54" i="4"/>
  <c r="R22" i="1"/>
  <c r="AE22" i="1"/>
  <c r="R21" i="1"/>
  <c r="AE21" i="1"/>
  <c r="R20" i="1"/>
  <c r="AE20" i="1"/>
  <c r="C25" i="1"/>
  <c r="C35" i="1" l="1"/>
  <c r="C50" i="1" l="1"/>
  <c r="C48" i="1"/>
  <c r="D5" i="1"/>
  <c r="C59" i="1"/>
  <c r="C62" i="1" s="1"/>
  <c r="O27" i="1"/>
  <c r="O28" i="1"/>
  <c r="AE27" i="1" l="1"/>
  <c r="Q27" i="1"/>
  <c r="O41" i="1"/>
  <c r="O18" i="1"/>
  <c r="Q25" i="1"/>
  <c r="R18" i="1" l="1"/>
  <c r="AE18" i="1"/>
  <c r="O19" i="1"/>
  <c r="O14" i="1"/>
  <c r="I27" i="2"/>
  <c r="O11" i="1"/>
  <c r="R14" i="1" l="1"/>
  <c r="AE14" i="1"/>
  <c r="R11" i="1"/>
  <c r="AE11" i="1"/>
  <c r="R19" i="1"/>
  <c r="AE19" i="1"/>
  <c r="O17" i="1"/>
  <c r="R17" i="1" l="1"/>
  <c r="AE17" i="1"/>
  <c r="O16" i="1"/>
  <c r="R16" i="1" l="1"/>
  <c r="AE16" i="1"/>
  <c r="E35" i="2"/>
  <c r="D35" i="2"/>
  <c r="C35" i="2"/>
  <c r="B35" i="2"/>
  <c r="I32" i="2"/>
  <c r="I31" i="2"/>
  <c r="I30" i="2"/>
  <c r="I29" i="2"/>
  <c r="I28" i="2"/>
  <c r="I26" i="2"/>
  <c r="I25" i="2"/>
  <c r="I24" i="2"/>
  <c r="I23" i="2"/>
  <c r="F14" i="2"/>
  <c r="B14" i="2"/>
  <c r="G13" i="2"/>
  <c r="G12" i="2"/>
  <c r="G11" i="2"/>
  <c r="G10" i="2"/>
  <c r="G9" i="2"/>
  <c r="G8" i="2"/>
  <c r="G7" i="2"/>
  <c r="G6" i="2"/>
  <c r="G5" i="2"/>
  <c r="G4" i="2"/>
  <c r="G3" i="2"/>
  <c r="G2" i="2"/>
  <c r="C2" i="2"/>
  <c r="O40" i="1"/>
  <c r="O13" i="1" l="1"/>
  <c r="G14" i="2"/>
  <c r="D2" i="2"/>
  <c r="O33" i="1"/>
  <c r="AE33" i="1" s="1"/>
  <c r="H2" i="2"/>
  <c r="H3" i="2"/>
  <c r="H4" i="2"/>
  <c r="H5" i="2"/>
  <c r="H14" i="2" s="1"/>
  <c r="H6" i="2"/>
  <c r="H7" i="2"/>
  <c r="H8" i="2"/>
  <c r="H9" i="2"/>
  <c r="H10" i="2"/>
  <c r="H11" i="2"/>
  <c r="H12" i="2"/>
  <c r="H13" i="2"/>
  <c r="R13" i="1" l="1"/>
  <c r="AE13" i="1"/>
  <c r="O12" i="1"/>
  <c r="R12" i="1" l="1"/>
  <c r="AE12" i="1"/>
  <c r="O9" i="1" l="1"/>
  <c r="O15" i="1"/>
  <c r="R15" i="1" l="1"/>
  <c r="AE15" i="1"/>
  <c r="R9" i="1"/>
  <c r="AE9" i="1"/>
  <c r="O10" i="1" l="1"/>
  <c r="R10" i="1" l="1"/>
  <c r="AE10" i="1"/>
  <c r="D44" i="1"/>
  <c r="D45" i="1" s="1"/>
  <c r="E35" i="1" l="1"/>
  <c r="E48" i="1" s="1"/>
  <c r="H25" i="1" l="1"/>
  <c r="H35" i="1" s="1"/>
  <c r="G25" i="1"/>
  <c r="G35" i="1" s="1"/>
  <c r="G44" i="1" l="1"/>
  <c r="H44" i="1" l="1"/>
  <c r="G48" i="1"/>
  <c r="H48" i="1" l="1"/>
  <c r="O39" i="1" l="1"/>
  <c r="F35" i="1" l="1"/>
  <c r="F48" i="1" s="1"/>
  <c r="F50" i="1" s="1"/>
  <c r="J44" i="1" l="1"/>
  <c r="J25" i="1"/>
  <c r="J35" i="1" s="1"/>
  <c r="F45" i="1"/>
  <c r="J48" i="1" l="1"/>
  <c r="G45" i="1"/>
  <c r="H45" i="1"/>
  <c r="D12" i="2" l="1"/>
  <c r="D11" i="2"/>
  <c r="D3" i="2"/>
  <c r="D10" i="2"/>
  <c r="D6" i="2"/>
  <c r="D9" i="2"/>
  <c r="D13" i="2"/>
  <c r="D4" i="2"/>
  <c r="C14" i="2"/>
  <c r="D8" i="2"/>
  <c r="D5" i="2"/>
  <c r="D14" i="2" s="1"/>
  <c r="D7" i="2"/>
  <c r="I25" i="1" l="1"/>
  <c r="I35" i="1" s="1"/>
  <c r="I44" i="1"/>
  <c r="J45" i="1" l="1"/>
  <c r="I45" i="1"/>
  <c r="I48" i="1"/>
  <c r="L25" i="1" l="1"/>
  <c r="L35" i="1" s="1"/>
  <c r="L44" i="1"/>
  <c r="K25" i="1"/>
  <c r="N25" i="1" l="1"/>
  <c r="N35" i="1" s="1"/>
  <c r="N44" i="1"/>
  <c r="K35" i="1"/>
  <c r="M44" i="1"/>
  <c r="M25" i="1"/>
  <c r="M35" i="1" s="1"/>
  <c r="K44" i="1"/>
  <c r="O44" i="1" s="1"/>
  <c r="C54" i="1" s="1"/>
  <c r="L48" i="1"/>
  <c r="M48" i="1" l="1"/>
  <c r="E16" i="2"/>
  <c r="K48" i="1"/>
  <c r="N45" i="1"/>
  <c r="M45" i="1"/>
  <c r="K45" i="1"/>
  <c r="L45" i="1"/>
  <c r="N48" i="1"/>
  <c r="Q44" i="1" l="1"/>
  <c r="O46" i="1"/>
  <c r="O7" i="1" l="1"/>
  <c r="AE7" i="1" s="1"/>
  <c r="R7" i="1" l="1"/>
  <c r="O8" i="1"/>
  <c r="AE8" i="1" s="1"/>
  <c r="AE35" i="1" s="1"/>
  <c r="O66" i="1" s="1"/>
  <c r="D25" i="1"/>
  <c r="O25" i="1" s="1"/>
  <c r="D35" i="1" l="1"/>
  <c r="O35" i="1" s="1"/>
  <c r="O37" i="1" s="1"/>
  <c r="R8" i="1"/>
  <c r="T69" i="1"/>
  <c r="O69" i="1"/>
  <c r="L59" i="1"/>
  <c r="L62" i="1" s="1"/>
  <c r="E59" i="1"/>
  <c r="E62" i="1" s="1"/>
  <c r="K59" i="1"/>
  <c r="K62" i="1" s="1"/>
  <c r="D48" i="1"/>
  <c r="D50" i="1" s="1"/>
  <c r="D59" i="1"/>
  <c r="D62" i="1" s="1"/>
  <c r="F59" i="1"/>
  <c r="F62" i="1" s="1"/>
  <c r="M59" i="1" l="1"/>
  <c r="M62" i="1" s="1"/>
  <c r="G59" i="1"/>
  <c r="G62" i="1" s="1"/>
  <c r="I59" i="1"/>
  <c r="I62" i="1" s="1"/>
  <c r="J59" i="1"/>
  <c r="J62" i="1" s="1"/>
  <c r="O48" i="1"/>
  <c r="X35" i="1"/>
  <c r="N59" i="1"/>
  <c r="N62" i="1" s="1"/>
  <c r="H59" i="1"/>
  <c r="H62" i="1" s="1"/>
  <c r="Q59" i="1"/>
  <c r="Q62" i="1" s="1"/>
  <c r="E50" i="1"/>
  <c r="E52" i="1" s="1"/>
  <c r="D54" i="1"/>
  <c r="E5" i="1"/>
  <c r="O50" i="1" l="1"/>
  <c r="O54" i="1" s="1"/>
  <c r="E54" i="1"/>
  <c r="F5" i="1"/>
  <c r="F52" i="1" l="1"/>
  <c r="F66" i="1"/>
  <c r="O52" i="1"/>
  <c r="G5" i="1"/>
  <c r="F54" i="1"/>
  <c r="G50" i="1"/>
  <c r="G52" i="1" s="1"/>
  <c r="H5" i="1" l="1"/>
  <c r="H50" i="1"/>
  <c r="H52" i="1" s="1"/>
  <c r="G54" i="1"/>
  <c r="I5" i="1" l="1"/>
  <c r="H54" i="1"/>
  <c r="I50" i="1"/>
  <c r="I52" i="1" s="1"/>
  <c r="J5" i="1" l="1"/>
  <c r="J50" i="1"/>
  <c r="J52" i="1" s="1"/>
  <c r="I54" i="1"/>
  <c r="J54" i="1" l="1"/>
  <c r="K5" i="1"/>
  <c r="K50" i="1"/>
  <c r="K52" i="1" s="1"/>
  <c r="K54" i="1" l="1"/>
  <c r="L50" i="1"/>
  <c r="L52" i="1" s="1"/>
  <c r="L5" i="1"/>
  <c r="M5" i="1" l="1"/>
  <c r="L54" i="1"/>
  <c r="M50" i="1"/>
  <c r="M52" i="1" s="1"/>
  <c r="N50" i="1" l="1"/>
  <c r="N52" i="1" s="1"/>
  <c r="N5" i="1"/>
  <c r="M54" i="1"/>
  <c r="R44" i="1" l="1"/>
  <c r="N54" i="1"/>
</calcChain>
</file>

<file path=xl/sharedStrings.xml><?xml version="1.0" encoding="utf-8"?>
<sst xmlns="http://schemas.openxmlformats.org/spreadsheetml/2006/main" count="251" uniqueCount="119">
  <si>
    <t>AP last</t>
  </si>
  <si>
    <t>A/P THIS</t>
  </si>
  <si>
    <t>%CHANGE</t>
  </si>
  <si>
    <t xml:space="preserve">   P/R LAST</t>
  </si>
  <si>
    <t>P/R THIS</t>
  </si>
  <si>
    <t xml:space="preserve"> % CHANGE</t>
  </si>
  <si>
    <t>SIA</t>
  </si>
  <si>
    <t>September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</si>
  <si>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</si>
  <si>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</si>
  <si>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</si>
  <si>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</si>
  <si>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</si>
  <si>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</si>
  <si>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</si>
  <si>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</si>
  <si>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</si>
  <si>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</si>
  <si>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</si>
  <si>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</si>
  <si>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TOTALS</t>
  </si>
  <si>
    <t>BEGINNING CASH</t>
  </si>
  <si>
    <t>October</t>
  </si>
  <si>
    <t>APPORTIONMENT</t>
  </si>
  <si>
    <t>November</t>
  </si>
  <si>
    <t>December</t>
  </si>
  <si>
    <t>January</t>
  </si>
  <si>
    <t>February</t>
  </si>
  <si>
    <t>March</t>
  </si>
  <si>
    <t>SPEC ED GENERAL</t>
  </si>
  <si>
    <t xml:space="preserve"> </t>
  </si>
  <si>
    <t>April</t>
  </si>
  <si>
    <t>May</t>
  </si>
  <si>
    <t>June</t>
  </si>
  <si>
    <t>July</t>
  </si>
  <si>
    <t>August</t>
  </si>
  <si>
    <t>Total</t>
  </si>
  <si>
    <t>SPECIAL EDUCATION</t>
  </si>
  <si>
    <t>BUD REV</t>
  </si>
  <si>
    <t>BUD A/P</t>
  </si>
  <si>
    <t>Levy Amount</t>
  </si>
  <si>
    <t>BUD EXP</t>
  </si>
  <si>
    <t>BUD P/R</t>
  </si>
  <si>
    <t>Interest Rate</t>
  </si>
  <si>
    <t>Last Year Revenues</t>
  </si>
  <si>
    <t>(Fill out In January)</t>
  </si>
  <si>
    <t>LEARNING  ASSISTANCE</t>
  </si>
  <si>
    <t>Local Taxes</t>
  </si>
  <si>
    <t>*Local Receipts</t>
  </si>
  <si>
    <t>Invesment Earn.</t>
  </si>
  <si>
    <t xml:space="preserve">  APPORTIONMENT</t>
  </si>
  <si>
    <t>NEW APPT W/ ADJ</t>
  </si>
  <si>
    <t>Total Adjustments</t>
  </si>
  <si>
    <t>HIGHLY CAPABLE</t>
  </si>
  <si>
    <t>*Enter local Receipt Projections manualy on Flow</t>
  </si>
  <si>
    <t xml:space="preserve">FOOD SERVICE    </t>
  </si>
  <si>
    <t>TRANSPORTATION</t>
  </si>
  <si>
    <t xml:space="preserve">IDEA-B  </t>
  </si>
  <si>
    <t xml:space="preserve">TITLE 1  </t>
  </si>
  <si>
    <t>SCHOOL IMPROVEMENT</t>
  </si>
  <si>
    <t>FEDERAL FOOD SERVICE</t>
  </si>
  <si>
    <t xml:space="preserve">SUB TOTAL         </t>
  </si>
  <si>
    <t xml:space="preserve">LOCAL RECEIPTS </t>
  </si>
  <si>
    <t>TOTAL RECEIPTS</t>
  </si>
  <si>
    <t>Budgeted Revenues</t>
  </si>
  <si>
    <t xml:space="preserve">  OVER  (UNDER) BUDGET</t>
  </si>
  <si>
    <t>ACCOUNTS PAYABLE</t>
  </si>
  <si>
    <t xml:space="preserve">PAYROLL           </t>
  </si>
  <si>
    <t>TOTAL DISBURSEMENTS</t>
  </si>
  <si>
    <t>Budget Capacity</t>
  </si>
  <si>
    <t>Budgeted Expenditures</t>
  </si>
  <si>
    <t xml:space="preserve">  (OVER)  UNDER BUDGET</t>
  </si>
  <si>
    <t xml:space="preserve">FLOW + -                     </t>
  </si>
  <si>
    <t xml:space="preserve">                    </t>
  </si>
  <si>
    <t>TRANS BILINGUAL</t>
  </si>
  <si>
    <t xml:space="preserve">Oversight Fee       </t>
  </si>
  <si>
    <t>Budgeted</t>
  </si>
  <si>
    <t>Days cash on hand</t>
  </si>
  <si>
    <t>WA Charters</t>
  </si>
  <si>
    <t>Misc</t>
  </si>
  <si>
    <t>CSP</t>
  </si>
  <si>
    <t>Growth Fund</t>
  </si>
  <si>
    <t>Cash Balance</t>
  </si>
  <si>
    <t>Days cash on hand w/o Capital</t>
  </si>
  <si>
    <t>ESSER II</t>
  </si>
  <si>
    <t>ESSER III</t>
  </si>
  <si>
    <t>Difference is a grant</t>
  </si>
  <si>
    <t>Learning Loss ESSER III</t>
  </si>
  <si>
    <t>2 Teachers</t>
  </si>
  <si>
    <t>Rates were issued after budget so will see how FS looks now</t>
  </si>
  <si>
    <t>Learn to Return DOH</t>
  </si>
  <si>
    <t>Recovery (OSPI)</t>
  </si>
  <si>
    <t xml:space="preserve">K-8 </t>
  </si>
  <si>
    <t>9-12</t>
  </si>
  <si>
    <t>Count</t>
  </si>
  <si>
    <t>Recovery from 21-22</t>
  </si>
  <si>
    <t>Riders budgeted at 602 vs Fall count 532 and Winter count of 510.  Harolw's rates went up need to take this into account expense wise</t>
  </si>
  <si>
    <t>Carryover</t>
  </si>
  <si>
    <t>Rec'd more than original award will run out 22-23</t>
  </si>
  <si>
    <t>Still have an overall balance that can be used</t>
  </si>
  <si>
    <t>Cap Project</t>
  </si>
  <si>
    <t>DSCR</t>
  </si>
  <si>
    <t>Net Income</t>
  </si>
  <si>
    <t>Debt Servie Pymt</t>
  </si>
  <si>
    <t>Ratio</t>
  </si>
  <si>
    <t>Cash</t>
  </si>
  <si>
    <t>60 Required</t>
  </si>
  <si>
    <t>1.1 Required</t>
  </si>
  <si>
    <t>Lease payments tied to bond</t>
  </si>
  <si>
    <t>E-rate</t>
  </si>
  <si>
    <t>*</t>
  </si>
  <si>
    <t>*Used Budget Status (YTD Exp+Encumbrances) and projected cash flow Revenue</t>
  </si>
  <si>
    <t>*Decrease in enrollment bud 753.69 vs 731.36 avg as of 3/31/23</t>
  </si>
  <si>
    <t>*Decrease in enrollment bud 85 vs 82 avg as of 3/31/23</t>
  </si>
  <si>
    <t>New teacher starting 3/27/ + recovery 21-22</t>
  </si>
  <si>
    <t>NATIONAL BOARD/Para Ed</t>
  </si>
  <si>
    <t>Operating Cost (Revenue-Expense-Encumbrances+Cap Outlay+Lease tied to bond+Depreiciation)</t>
  </si>
  <si>
    <t>Capacity left</t>
  </si>
  <si>
    <t>Fiscal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</si>
</sst>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  <numFmt numFmtId="168" formatCode="_(* #,##0_);_(* \(#,##0\);_(* &quot;-&quot;??_);_(@_)"/>
  </numFmts>
  <fonts count="15">
    <font>
      <sz val="10"/>
      <color rgb="FF000000"/>
      <name val="Open Sans"/>
    </font>
    <font>
      <sz val="12"/>
      <name val="Calibri"/>
      <family val="2"/>
    </font>
    <font>
      <b/>
      <sz val="12"/>
      <name val="Arimo"/>
    </font>
    <font>
      <b/>
      <sz val="12"/>
      <name val="Calibri"/>
      <family val="2"/>
    </font>
    <font>
      <sz val="12"/>
      <name val="Open Sans"/>
    </font>
    <font>
      <sz val="11"/>
      <name val="Calibri"/>
      <family val="2"/>
    </font>
    <font>
      <b/>
      <sz val="12"/>
      <name val="Open Sans"/>
    </font>
    <font>
      <sz val="12"/>
      <name val="Arimo"/>
    </font>
    <font>
      <sz val="11"/>
      <name val="Arimo"/>
    </font>
    <font>
      <sz val="12"/>
      <color rgb="FF0066CC"/>
      <name val="Open Sans"/>
    </font>
    <font>
      <sz val="10"/>
      <color rgb="FF000000"/>
      <name val="Open Sans"/>
    </font>
    <font>
      <sz val="12"/>
      <name val="Open Sans"/>
      <family val="2"/>
    </font>
    <font>
      <sz val="8"/>
      <name val="Open Sans"/>
    </font>
    <font>
      <b/>
      <sz val="12"/>
      <color rgb="FF000000"/>
      <name val="Open Sans"/>
    </font>
    <font>
      <sz val="12"/>
      <color rgb="FF000000"/>
      <name val="Open Sans"/>
    </font>
  </fonts>
  <fills count="1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92CDDC"/>
        <bgColor rgb="FF92CDDC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9CC00"/>
        <bgColor rgb="FF99CC00"/>
      </patternFill>
    </fill>
    <fill>
      <patternFill patternType="solid">
        <fgColor rgb="FFDAEEF3"/>
        <bgColor rgb="FFDAEEF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9ED0"/>
        <bgColor rgb="FF92CDDC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92CDDC"/>
      </patternFill>
    </fill>
    <fill>
      <patternFill patternType="solid">
        <fgColor theme="7" tint="0.79998168889431442"/>
        <bgColor rgb="FFB6DDE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/>
    <xf numFmtId="3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/>
    </xf>
    <xf numFmtId="3" fontId="1" fillId="0" borderId="0" xfId="0" applyNumberFormat="1" applyFont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3" fontId="4" fillId="5" borderId="1" xfId="0" applyNumberFormat="1" applyFont="1" applyFill="1" applyBorder="1"/>
    <xf numFmtId="3" fontId="1" fillId="2" borderId="5" xfId="0" applyNumberFormat="1" applyFont="1" applyFill="1" applyBorder="1" applyAlignment="1">
      <alignment horizontal="center"/>
    </xf>
    <xf numFmtId="3" fontId="1" fillId="0" borderId="6" xfId="0" applyNumberFormat="1" applyFont="1" applyBorder="1"/>
    <xf numFmtId="0" fontId="3" fillId="0" borderId="0" xfId="0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3" borderId="1" xfId="0" applyNumberFormat="1" applyFont="1" applyFill="1" applyBorder="1"/>
    <xf numFmtId="0" fontId="1" fillId="3" borderId="1" xfId="0" applyFont="1" applyFill="1" applyBorder="1"/>
    <xf numFmtId="49" fontId="3" fillId="0" borderId="0" xfId="0" applyNumberFormat="1" applyFont="1" applyAlignment="1">
      <alignment horizontal="center"/>
    </xf>
    <xf numFmtId="3" fontId="1" fillId="6" borderId="1" xfId="0" applyNumberFormat="1" applyFont="1" applyFill="1" applyBorder="1"/>
    <xf numFmtId="3" fontId="1" fillId="7" borderId="1" xfId="0" applyNumberFormat="1" applyFont="1" applyFill="1" applyBorder="1"/>
    <xf numFmtId="3" fontId="1" fillId="7" borderId="5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/>
    <xf numFmtId="3" fontId="4" fillId="4" borderId="3" xfId="0" applyNumberFormat="1" applyFont="1" applyFill="1" applyBorder="1"/>
    <xf numFmtId="3" fontId="6" fillId="4" borderId="4" xfId="0" applyNumberFormat="1" applyFont="1" applyFill="1" applyBorder="1"/>
    <xf numFmtId="0" fontId="7" fillId="0" borderId="0" xfId="0" applyFont="1"/>
    <xf numFmtId="38" fontId="4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2" fillId="0" borderId="0" xfId="0" applyNumberFormat="1" applyFont="1"/>
    <xf numFmtId="3" fontId="6" fillId="0" borderId="0" xfId="0" applyNumberFormat="1" applyFont="1"/>
    <xf numFmtId="0" fontId="8" fillId="0" borderId="0" xfId="0" applyFont="1"/>
    <xf numFmtId="3" fontId="9" fillId="0" borderId="0" xfId="0" applyNumberFormat="1" applyFont="1" applyAlignment="1">
      <alignment horizontal="center"/>
    </xf>
    <xf numFmtId="3" fontId="4" fillId="0" borderId="1" xfId="0" applyNumberFormat="1" applyFont="1" applyBorder="1"/>
    <xf numFmtId="0" fontId="4" fillId="8" borderId="0" xfId="0" applyFont="1" applyFill="1" applyAlignment="1">
      <alignment horizontal="center"/>
    </xf>
    <xf numFmtId="0" fontId="4" fillId="8" borderId="0" xfId="0" applyFont="1" applyFill="1"/>
    <xf numFmtId="3" fontId="4" fillId="8" borderId="0" xfId="0" applyNumberFormat="1" applyFont="1" applyFill="1"/>
    <xf numFmtId="3" fontId="4" fillId="8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0" xfId="0" applyNumberFormat="1" applyFont="1" applyAlignment="1">
      <alignment horizontal="center"/>
    </xf>
    <xf numFmtId="3" fontId="4" fillId="9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3" fontId="4" fillId="10" borderId="1" xfId="0" applyNumberFormat="1" applyFont="1" applyFill="1" applyBorder="1"/>
    <xf numFmtId="44" fontId="4" fillId="0" borderId="0" xfId="1" applyFont="1" applyFill="1" applyAlignment="1"/>
    <xf numFmtId="44" fontId="4" fillId="0" borderId="0" xfId="1" applyFont="1" applyAlignment="1"/>
    <xf numFmtId="44" fontId="4" fillId="0" borderId="0" xfId="0" applyNumberFormat="1" applyFont="1"/>
    <xf numFmtId="3" fontId="4" fillId="11" borderId="1" xfId="0" applyNumberFormat="1" applyFont="1" applyFill="1" applyBorder="1"/>
    <xf numFmtId="3" fontId="4" fillId="12" borderId="0" xfId="0" applyNumberFormat="1" applyFont="1" applyFill="1"/>
    <xf numFmtId="1" fontId="4" fillId="0" borderId="0" xfId="0" applyNumberFormat="1" applyFont="1"/>
    <xf numFmtId="0" fontId="3" fillId="13" borderId="1" xfId="0" applyFont="1" applyFill="1" applyBorder="1" applyAlignment="1">
      <alignment horizontal="left"/>
    </xf>
    <xf numFmtId="3" fontId="4" fillId="14" borderId="1" xfId="0" applyNumberFormat="1" applyFont="1" applyFill="1" applyBorder="1"/>
    <xf numFmtId="44" fontId="4" fillId="0" borderId="0" xfId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2" fontId="4" fillId="0" borderId="0" xfId="0" applyNumberFormat="1" applyFont="1"/>
    <xf numFmtId="164" fontId="4" fillId="0" borderId="0" xfId="0" applyNumberFormat="1" applyFont="1"/>
    <xf numFmtId="0" fontId="4" fillId="15" borderId="0" xfId="0" applyFont="1" applyFill="1"/>
    <xf numFmtId="0" fontId="11" fillId="15" borderId="0" xfId="0" applyFont="1" applyFill="1"/>
    <xf numFmtId="3" fontId="0" fillId="0" borderId="0" xfId="0" applyNumberFormat="1"/>
    <xf numFmtId="44" fontId="4" fillId="16" borderId="0" xfId="0" applyNumberFormat="1" applyFont="1" applyFill="1"/>
    <xf numFmtId="165" fontId="4" fillId="0" borderId="0" xfId="0" applyNumberFormat="1" applyFont="1"/>
    <xf numFmtId="4" fontId="4" fillId="0" borderId="0" xfId="0" applyNumberFormat="1" applyFont="1"/>
    <xf numFmtId="43" fontId="4" fillId="0" borderId="0" xfId="2" applyFont="1"/>
    <xf numFmtId="0" fontId="3" fillId="0" borderId="0" xfId="0" applyFont="1" applyAlignment="1">
      <alignment horizontal="left"/>
    </xf>
    <xf numFmtId="0" fontId="0" fillId="0" borderId="0" xfId="0"/>
    <xf numFmtId="168" fontId="4" fillId="0" borderId="0" xfId="2" applyNumberFormat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09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9C5A-3D82-6C44-B3EF-C5AFB2A32E4B}">
  <dimension ref="A1:AE99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0" sqref="F50"/>
    </sheetView>
  </sheetViews>
  <sheetFormatPr baseColWidth="10" defaultColWidth="14.33203125" defaultRowHeight="15" customHeight="1"/>
  <cols>
    <col min="1" max="1" width="8.33203125" customWidth="1"/>
    <col min="2" max="2" width="29.6640625" customWidth="1"/>
    <col min="3" max="3" width="17" bestFit="1" customWidth="1"/>
    <col min="4" max="5" width="14.6640625" bestFit="1" customWidth="1"/>
    <col min="6" max="7" width="13.83203125" customWidth="1"/>
    <col min="8" max="10" width="15.6640625" bestFit="1" customWidth="1"/>
    <col min="11" max="12" width="13.83203125" customWidth="1"/>
    <col min="13" max="13" width="15.6640625" bestFit="1" customWidth="1"/>
    <col min="14" max="14" width="16.33203125" customWidth="1"/>
    <col min="15" max="15" width="19" bestFit="1" customWidth="1"/>
    <col min="16" max="16" width="4" customWidth="1"/>
    <col min="17" max="18" width="24" customWidth="1"/>
    <col min="19" max="19" width="9.33203125" customWidth="1"/>
    <col min="20" max="20" width="24.83203125" bestFit="1" customWidth="1"/>
    <col min="21" max="21" width="9.1640625" customWidth="1"/>
    <col min="22" max="23" width="8" customWidth="1"/>
    <col min="24" max="24" width="17.33203125" bestFit="1" customWidth="1"/>
    <col min="25" max="28" width="7.33203125" customWidth="1"/>
  </cols>
  <sheetData>
    <row r="1" spans="1:31" ht="15.75" customHeight="1" thickBot="1">
      <c r="A1" s="2"/>
      <c r="B1" s="6" t="s">
        <v>6</v>
      </c>
      <c r="C1" s="4">
        <v>0.09</v>
      </c>
      <c r="D1" s="4">
        <v>0.08</v>
      </c>
      <c r="E1" s="4">
        <v>0.05</v>
      </c>
      <c r="F1" s="4">
        <v>0.09</v>
      </c>
      <c r="G1" s="4">
        <v>8.5000000000000006E-2</v>
      </c>
      <c r="H1" s="4">
        <v>0.09</v>
      </c>
      <c r="I1" s="4">
        <v>0.09</v>
      </c>
      <c r="J1" s="4">
        <v>0.09</v>
      </c>
      <c r="K1" s="4">
        <v>0.05</v>
      </c>
      <c r="L1" s="4">
        <v>0.06</v>
      </c>
      <c r="M1" s="4">
        <v>0.125</v>
      </c>
      <c r="N1" s="4">
        <v>0.1</v>
      </c>
      <c r="O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5.75" customHeight="1" thickBot="1">
      <c r="A2" s="8"/>
      <c r="B2" s="62" t="s">
        <v>118</v>
      </c>
      <c r="C2" s="9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2" t="s">
        <v>19</v>
      </c>
      <c r="O2" s="3" t="s">
        <v>20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6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31" ht="16">
      <c r="A5" s="79" t="s">
        <v>21</v>
      </c>
      <c r="B5" s="80"/>
      <c r="C5" s="63">
        <f>4673131.45+88267.32</f>
        <v>4761398.7700000005</v>
      </c>
      <c r="D5" s="14">
        <f>C50</f>
        <v>5183335.1252000006</v>
      </c>
      <c r="E5" s="14">
        <f t="shared" ref="E5:N5" si="0">D50</f>
        <v>5078053.4176000003</v>
      </c>
      <c r="F5" s="14">
        <f t="shared" si="0"/>
        <v>4611494.8441000003</v>
      </c>
      <c r="G5" s="14">
        <f t="shared" si="0"/>
        <v>4873072.1434000004</v>
      </c>
      <c r="H5" s="14">
        <f t="shared" si="0"/>
        <v>4814352.6934000002</v>
      </c>
      <c r="I5" s="14">
        <f t="shared" si="0"/>
        <v>4814352.6934000002</v>
      </c>
      <c r="J5" s="14">
        <f t="shared" si="0"/>
        <v>4814352.6934000002</v>
      </c>
      <c r="K5" s="14">
        <f t="shared" si="0"/>
        <v>4814352.6934000002</v>
      </c>
      <c r="L5" s="14">
        <f t="shared" si="0"/>
        <v>4814352.6934000002</v>
      </c>
      <c r="M5" s="14">
        <f t="shared" si="0"/>
        <v>4814352.6934000002</v>
      </c>
      <c r="N5" s="14">
        <f t="shared" si="0"/>
        <v>4814352.6934000002</v>
      </c>
      <c r="O5" s="14"/>
      <c r="Q5" s="5" t="s">
        <v>76</v>
      </c>
      <c r="R5" s="5"/>
      <c r="S5" s="5"/>
      <c r="T5" s="5"/>
      <c r="U5" s="5"/>
      <c r="V5" s="5"/>
      <c r="W5" s="5"/>
      <c r="X5" s="5"/>
      <c r="Y5" s="5"/>
      <c r="Z5" s="5"/>
    </row>
    <row r="6" spans="1:31" ht="16">
      <c r="A6" s="8"/>
      <c r="B6" s="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Q6" s="5"/>
      <c r="R6" s="5"/>
      <c r="S6" s="5"/>
      <c r="T6" s="5"/>
      <c r="U6" s="5"/>
      <c r="V6" s="5"/>
      <c r="W6" s="5"/>
      <c r="X6" s="5"/>
      <c r="Y6" s="8"/>
      <c r="Z6" s="8" t="s">
        <v>94</v>
      </c>
      <c r="AA6" s="65"/>
      <c r="AB6" s="69" t="s">
        <v>94</v>
      </c>
    </row>
    <row r="7" spans="1:31" ht="16">
      <c r="A7" s="15">
        <v>3100</v>
      </c>
      <c r="B7" s="16" t="s">
        <v>23</v>
      </c>
      <c r="C7" s="17">
        <v>790676.58149999997</v>
      </c>
      <c r="D7" s="17">
        <v>702823.62800000003</v>
      </c>
      <c r="E7" s="17">
        <v>439769.70750000002</v>
      </c>
      <c r="F7" s="17">
        <v>762103.52149999992</v>
      </c>
      <c r="G7" s="17">
        <f>616722.59+G42</f>
        <v>641078.36</v>
      </c>
      <c r="H7" s="17"/>
      <c r="I7" s="17"/>
      <c r="J7" s="17"/>
      <c r="K7" s="17"/>
      <c r="L7" s="17"/>
      <c r="M7" s="17"/>
      <c r="N7" s="17"/>
      <c r="O7" s="42">
        <f>SUM(C7:N7)</f>
        <v>3336451.7984999996</v>
      </c>
      <c r="Q7" s="56">
        <v>8517771.9499999993</v>
      </c>
      <c r="R7" s="58">
        <f>O7-Q7</f>
        <v>-5181320.1514999997</v>
      </c>
      <c r="S7" s="5" t="s">
        <v>112</v>
      </c>
      <c r="T7" s="5"/>
      <c r="U7" s="5"/>
      <c r="V7" s="5"/>
      <c r="W7" s="5"/>
      <c r="X7" s="5"/>
      <c r="Y7" s="66" t="s">
        <v>92</v>
      </c>
      <c r="Z7" s="66">
        <f>-698.4+695.35</f>
        <v>-3.0499999999999545</v>
      </c>
      <c r="AA7" s="67" t="s">
        <v>93</v>
      </c>
      <c r="AB7" s="68">
        <f>-55.29+36</f>
        <v>-19.29</v>
      </c>
      <c r="AE7" s="74">
        <f>O7</f>
        <v>3336451.7984999996</v>
      </c>
    </row>
    <row r="8" spans="1:31" ht="16">
      <c r="A8" s="8">
        <v>3121</v>
      </c>
      <c r="B8" s="5" t="s">
        <v>29</v>
      </c>
      <c r="C8" s="59">
        <v>5608.5362999999998</v>
      </c>
      <c r="D8" s="59">
        <v>4985.3656000000001</v>
      </c>
      <c r="E8" s="59">
        <v>3115.8535000000002</v>
      </c>
      <c r="F8" s="59">
        <v>5608.5362999999998</v>
      </c>
      <c r="G8" s="59">
        <v>6420.63</v>
      </c>
      <c r="H8" s="59"/>
      <c r="I8" s="59"/>
      <c r="J8" s="59"/>
      <c r="K8" s="59"/>
      <c r="L8" s="59"/>
      <c r="M8" s="59"/>
      <c r="N8" s="59"/>
      <c r="O8" s="14">
        <f t="shared" ref="O8:O22" si="1">SUM(C8:N8)</f>
        <v>25738.921700000003</v>
      </c>
      <c r="Q8" s="56">
        <v>65161.83</v>
      </c>
      <c r="R8" s="58">
        <f t="shared" ref="R8:R22" si="2">O8-Q8</f>
        <v>-39422.908299999996</v>
      </c>
      <c r="S8" s="5"/>
      <c r="T8" s="5"/>
      <c r="U8" s="5"/>
      <c r="V8" s="5"/>
      <c r="W8" s="5"/>
      <c r="X8" s="5"/>
      <c r="Y8" s="5"/>
      <c r="Z8" s="5"/>
      <c r="AE8" s="74">
        <f t="shared" ref="AE8:AE23" si="3">O8</f>
        <v>25738.921700000003</v>
      </c>
    </row>
    <row r="9" spans="1:31" ht="16">
      <c r="A9" s="43">
        <v>4121</v>
      </c>
      <c r="B9" s="44" t="s">
        <v>37</v>
      </c>
      <c r="C9" s="17">
        <v>87169.831200000001</v>
      </c>
      <c r="D9" s="17">
        <v>77484.294399999999</v>
      </c>
      <c r="E9" s="17">
        <v>44283</v>
      </c>
      <c r="F9" s="17">
        <v>87183.05</v>
      </c>
      <c r="G9" s="55">
        <v>99640.36</v>
      </c>
      <c r="H9" s="55"/>
      <c r="I9" s="55"/>
      <c r="J9" s="55"/>
      <c r="K9" s="55"/>
      <c r="L9" s="55"/>
      <c r="M9" s="55"/>
      <c r="N9" s="55"/>
      <c r="O9" s="14">
        <f>SUM(C9:N9)</f>
        <v>395760.5356</v>
      </c>
      <c r="Q9" s="56">
        <v>1012418.29</v>
      </c>
      <c r="R9" s="58">
        <f t="shared" si="2"/>
        <v>-616657.75439999998</v>
      </c>
      <c r="S9" s="5" t="s">
        <v>113</v>
      </c>
      <c r="T9" s="5"/>
      <c r="U9" s="5"/>
      <c r="V9" s="5"/>
      <c r="W9" s="5"/>
      <c r="X9" s="5"/>
      <c r="Y9" s="5"/>
      <c r="Z9" s="5"/>
      <c r="AE9" s="74">
        <f t="shared" si="3"/>
        <v>395760.5356</v>
      </c>
    </row>
    <row r="10" spans="1:31" ht="16">
      <c r="A10" s="47">
        <v>4155</v>
      </c>
      <c r="B10" s="48" t="s">
        <v>46</v>
      </c>
      <c r="C10" s="59"/>
      <c r="D10" s="42">
        <v>40043.35</v>
      </c>
      <c r="E10" s="59">
        <v>11777.4565</v>
      </c>
      <c r="F10" s="59">
        <v>21199.421699999999</v>
      </c>
      <c r="G10" s="42">
        <v>13273.7</v>
      </c>
      <c r="H10" s="42"/>
      <c r="I10" s="42"/>
      <c r="J10" s="42"/>
      <c r="K10" s="42"/>
      <c r="L10" s="42"/>
      <c r="M10" s="42"/>
      <c r="N10" s="42"/>
      <c r="O10" s="42">
        <f t="shared" si="1"/>
        <v>86293.928199999995</v>
      </c>
      <c r="Q10" s="56">
        <v>235549.13</v>
      </c>
      <c r="R10" s="58">
        <f t="shared" si="2"/>
        <v>-149255.20180000001</v>
      </c>
      <c r="S10" s="5" t="s">
        <v>95</v>
      </c>
      <c r="T10" s="5"/>
      <c r="U10" s="5"/>
      <c r="V10" s="5"/>
      <c r="W10" s="5"/>
      <c r="X10" s="5"/>
      <c r="Y10" s="5"/>
      <c r="Z10" s="5"/>
      <c r="AE10" s="74">
        <f t="shared" si="3"/>
        <v>86293.928199999995</v>
      </c>
    </row>
    <row r="11" spans="1:31" ht="16">
      <c r="A11" s="43">
        <v>4158</v>
      </c>
      <c r="B11" s="44" t="s">
        <v>115</v>
      </c>
      <c r="C11" s="17">
        <v>3535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  <c r="O11" s="14">
        <f t="shared" si="1"/>
        <v>3535</v>
      </c>
      <c r="Q11" s="56"/>
      <c r="R11" s="58">
        <f t="shared" si="2"/>
        <v>3535</v>
      </c>
      <c r="S11" s="5" t="s">
        <v>88</v>
      </c>
      <c r="T11" s="5"/>
      <c r="U11" s="5"/>
      <c r="V11" s="5"/>
      <c r="W11" s="5"/>
      <c r="X11" s="5"/>
      <c r="Y11" s="5"/>
      <c r="Z11" s="5"/>
      <c r="AE11" s="74">
        <f t="shared" si="3"/>
        <v>3535</v>
      </c>
    </row>
    <row r="12" spans="1:31" ht="16">
      <c r="A12" s="8">
        <v>4165</v>
      </c>
      <c r="B12" s="5" t="s">
        <v>74</v>
      </c>
      <c r="C12" s="59">
        <v>0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4">
        <f>SUM(C12:N12)</f>
        <v>0</v>
      </c>
      <c r="Q12" s="56"/>
      <c r="R12" s="58">
        <f t="shared" si="2"/>
        <v>0</v>
      </c>
      <c r="S12" s="5" t="s">
        <v>114</v>
      </c>
      <c r="T12" s="5"/>
      <c r="U12" s="5"/>
      <c r="V12" s="5"/>
      <c r="W12" s="5"/>
      <c r="X12" s="5"/>
      <c r="Y12" s="5"/>
      <c r="Z12" s="5"/>
      <c r="AE12" s="74">
        <f t="shared" si="3"/>
        <v>0</v>
      </c>
    </row>
    <row r="13" spans="1:31" ht="16">
      <c r="A13" s="51">
        <v>4174</v>
      </c>
      <c r="B13" s="52" t="s">
        <v>53</v>
      </c>
      <c r="C13" s="17">
        <v>2169.1997999999999</v>
      </c>
      <c r="D13" s="17">
        <v>1928.1776000000002</v>
      </c>
      <c r="E13" s="17">
        <v>1205.1110000000001</v>
      </c>
      <c r="F13" s="17">
        <v>2169.1997999999999</v>
      </c>
      <c r="G13" s="17">
        <v>1632.95</v>
      </c>
      <c r="H13" s="46"/>
      <c r="I13" s="46"/>
      <c r="J13" s="46"/>
      <c r="K13" s="46"/>
      <c r="L13" s="46"/>
      <c r="M13" s="46"/>
      <c r="N13" s="46"/>
      <c r="O13" s="42">
        <f t="shared" si="1"/>
        <v>9104.6382000000012</v>
      </c>
      <c r="Q13" s="56">
        <v>23049.71</v>
      </c>
      <c r="R13" s="58">
        <f t="shared" si="2"/>
        <v>-13945.071799999998</v>
      </c>
      <c r="S13" s="5" t="s">
        <v>95</v>
      </c>
      <c r="T13" s="5"/>
      <c r="U13" s="5"/>
      <c r="V13" s="5"/>
      <c r="W13" s="5"/>
      <c r="X13" s="5"/>
      <c r="Y13" s="5"/>
      <c r="Z13" s="5"/>
      <c r="AE13" s="74">
        <f t="shared" si="3"/>
        <v>9104.6382000000012</v>
      </c>
    </row>
    <row r="14" spans="1:31" ht="16">
      <c r="A14" s="47">
        <v>4198</v>
      </c>
      <c r="B14" s="48" t="s">
        <v>55</v>
      </c>
      <c r="C14" s="59"/>
      <c r="D14" s="42">
        <v>1087.2</v>
      </c>
      <c r="E14" s="42">
        <v>1221.25</v>
      </c>
      <c r="F14" s="42">
        <v>1034.3499999999999</v>
      </c>
      <c r="G14" s="42">
        <f>163.85+269.7+440.8</f>
        <v>874.34999999999991</v>
      </c>
      <c r="H14" s="42"/>
      <c r="I14" s="42"/>
      <c r="J14" s="42"/>
      <c r="K14" s="42"/>
      <c r="L14" s="42"/>
      <c r="M14" s="42"/>
      <c r="N14" s="42"/>
      <c r="O14" s="42">
        <f t="shared" si="1"/>
        <v>4217.1499999999996</v>
      </c>
      <c r="Q14" s="56"/>
      <c r="R14" s="58">
        <f t="shared" si="2"/>
        <v>4217.1499999999996</v>
      </c>
      <c r="S14" s="5"/>
      <c r="T14" s="5"/>
      <c r="U14" s="5"/>
      <c r="V14" s="5"/>
      <c r="W14" s="5"/>
      <c r="X14" s="5"/>
      <c r="Y14" s="5"/>
      <c r="Z14" s="5"/>
      <c r="AE14" s="74">
        <f t="shared" si="3"/>
        <v>4217.1499999999996</v>
      </c>
    </row>
    <row r="15" spans="1:31" ht="16">
      <c r="A15" s="43">
        <v>4199</v>
      </c>
      <c r="B15" s="44" t="s">
        <v>56</v>
      </c>
      <c r="C15" s="17">
        <v>45598.2264</v>
      </c>
      <c r="D15" s="17">
        <v>40531.756800000003</v>
      </c>
      <c r="E15" s="17">
        <v>25332.348000000002</v>
      </c>
      <c r="F15" s="46">
        <v>45598.23</v>
      </c>
      <c r="G15" s="46">
        <v>43064.99</v>
      </c>
      <c r="H15" s="46"/>
      <c r="I15" s="46"/>
      <c r="J15" s="46"/>
      <c r="K15" s="46"/>
      <c r="L15" s="46"/>
      <c r="M15" s="46"/>
      <c r="N15" s="46"/>
      <c r="O15" s="14">
        <f t="shared" si="1"/>
        <v>200125.55119999999</v>
      </c>
      <c r="Q15" s="56">
        <v>506646.96</v>
      </c>
      <c r="R15" s="58">
        <f t="shared" si="2"/>
        <v>-306521.40880000003</v>
      </c>
      <c r="S15" s="5" t="s">
        <v>96</v>
      </c>
      <c r="T15" s="5"/>
      <c r="U15" s="5"/>
      <c r="V15" s="5"/>
      <c r="W15" s="5"/>
      <c r="X15" s="5"/>
      <c r="Y15" s="5"/>
      <c r="Z15" s="5"/>
      <c r="AE15" s="74">
        <f t="shared" si="3"/>
        <v>200125.55119999999</v>
      </c>
    </row>
    <row r="16" spans="1:31" ht="16">
      <c r="A16" s="47">
        <v>6124</v>
      </c>
      <c r="B16" s="48" t="s">
        <v>57</v>
      </c>
      <c r="C16" s="59">
        <v>14597.27</v>
      </c>
      <c r="D16" s="42"/>
      <c r="E16" s="42"/>
      <c r="F16" s="42">
        <v>70285.990000000005</v>
      </c>
      <c r="G16" s="42"/>
      <c r="H16" s="42"/>
      <c r="I16" s="42"/>
      <c r="J16" s="42"/>
      <c r="K16" s="42"/>
      <c r="L16" s="42"/>
      <c r="M16" s="42"/>
      <c r="N16" s="42"/>
      <c r="O16" s="42">
        <f t="shared" si="1"/>
        <v>84883.260000000009</v>
      </c>
      <c r="Q16" s="56"/>
      <c r="R16" s="58">
        <f t="shared" si="2"/>
        <v>84883.260000000009</v>
      </c>
      <c r="S16" s="5" t="s">
        <v>97</v>
      </c>
      <c r="T16" s="5"/>
      <c r="U16" s="5"/>
      <c r="V16" s="5"/>
      <c r="W16" s="5"/>
      <c r="X16" s="5"/>
      <c r="Y16" s="5"/>
      <c r="Z16" s="5"/>
      <c r="AE16" s="74">
        <f t="shared" si="3"/>
        <v>84883.260000000009</v>
      </c>
    </row>
    <row r="17" spans="1:31" ht="16">
      <c r="A17" s="43">
        <v>6151</v>
      </c>
      <c r="B17" s="44" t="s">
        <v>58</v>
      </c>
      <c r="C17" s="17">
        <v>17893.150000000001</v>
      </c>
      <c r="D17" s="45"/>
      <c r="E17" s="45"/>
      <c r="F17" s="45">
        <v>97948.2</v>
      </c>
      <c r="G17" s="45">
        <v>33052.89</v>
      </c>
      <c r="H17" s="45"/>
      <c r="I17" s="45"/>
      <c r="J17" s="45"/>
      <c r="K17" s="45"/>
      <c r="L17" s="45"/>
      <c r="M17" s="45"/>
      <c r="N17" s="46"/>
      <c r="O17" s="14">
        <f t="shared" si="1"/>
        <v>148894.24</v>
      </c>
      <c r="Q17" s="56">
        <v>232808</v>
      </c>
      <c r="R17" s="58">
        <f t="shared" si="2"/>
        <v>-83913.760000000009</v>
      </c>
      <c r="S17" s="5" t="s">
        <v>97</v>
      </c>
      <c r="T17" s="5"/>
      <c r="U17" s="5"/>
      <c r="V17" s="5"/>
      <c r="W17" s="5"/>
      <c r="X17" s="5"/>
      <c r="Y17" s="5"/>
      <c r="Z17" s="5"/>
      <c r="AE17" s="74">
        <f t="shared" si="3"/>
        <v>148894.24</v>
      </c>
    </row>
    <row r="18" spans="1:31" ht="16">
      <c r="A18" s="47">
        <v>6152</v>
      </c>
      <c r="B18" s="48" t="s">
        <v>59</v>
      </c>
      <c r="C18" s="59">
        <v>1810.13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>
        <f t="shared" si="1"/>
        <v>1810.13</v>
      </c>
      <c r="Q18" s="57">
        <v>23761</v>
      </c>
      <c r="R18" s="58">
        <f t="shared" si="2"/>
        <v>-21950.87</v>
      </c>
      <c r="S18" s="5" t="s">
        <v>97</v>
      </c>
      <c r="T18" s="5"/>
      <c r="U18" s="5"/>
      <c r="V18" s="5"/>
      <c r="W18" s="5"/>
      <c r="X18" s="5"/>
      <c r="Y18" s="5"/>
      <c r="Z18" s="5"/>
      <c r="AE18" s="74">
        <f t="shared" si="3"/>
        <v>1810.13</v>
      </c>
    </row>
    <row r="19" spans="1:31" ht="16">
      <c r="A19" s="53">
        <v>6198</v>
      </c>
      <c r="B19" s="54" t="s">
        <v>60</v>
      </c>
      <c r="C19" s="17">
        <v>157447.07</v>
      </c>
      <c r="D19" s="55">
        <v>33666.36</v>
      </c>
      <c r="E19" s="17">
        <v>39993.480000000003</v>
      </c>
      <c r="F19" s="17">
        <v>35810.18</v>
      </c>
      <c r="G19" s="17">
        <f>20521.15+10027.03+21042</f>
        <v>51590.18</v>
      </c>
      <c r="H19" s="17"/>
      <c r="I19" s="17"/>
      <c r="J19" s="17"/>
      <c r="K19" s="17"/>
      <c r="L19" s="17"/>
      <c r="M19" s="17"/>
      <c r="N19" s="46"/>
      <c r="O19" s="42">
        <f t="shared" si="1"/>
        <v>318507.27</v>
      </c>
      <c r="Q19" s="57"/>
      <c r="R19" s="58">
        <f t="shared" si="2"/>
        <v>318507.27</v>
      </c>
      <c r="S19" s="5" t="s">
        <v>89</v>
      </c>
      <c r="T19" s="5"/>
      <c r="U19" s="5"/>
      <c r="V19" s="5"/>
      <c r="W19" s="5"/>
      <c r="X19" s="5"/>
      <c r="Y19" s="5"/>
      <c r="Z19" s="5"/>
      <c r="AE19" s="74">
        <f t="shared" si="3"/>
        <v>318507.27</v>
      </c>
    </row>
    <row r="20" spans="1:31" ht="16">
      <c r="A20" s="47">
        <v>1200</v>
      </c>
      <c r="B20" s="48" t="s">
        <v>84</v>
      </c>
      <c r="C20" s="5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>
        <f t="shared" si="1"/>
        <v>0</v>
      </c>
      <c r="Q20" s="57"/>
      <c r="R20" s="58">
        <f t="shared" si="2"/>
        <v>0</v>
      </c>
      <c r="S20" s="5" t="s">
        <v>98</v>
      </c>
      <c r="T20" s="5"/>
      <c r="U20" s="5"/>
      <c r="V20" s="5"/>
      <c r="W20" s="5"/>
      <c r="X20" s="5"/>
      <c r="Y20" s="5"/>
      <c r="Z20" s="5"/>
      <c r="AE20" s="74">
        <f t="shared" si="3"/>
        <v>0</v>
      </c>
    </row>
    <row r="21" spans="1:31" ht="16">
      <c r="A21" s="53">
        <v>1300</v>
      </c>
      <c r="B21" s="54" t="s">
        <v>85</v>
      </c>
      <c r="C21" s="17">
        <v>75296.13</v>
      </c>
      <c r="D21" s="55">
        <v>17258.53</v>
      </c>
      <c r="E21" s="55"/>
      <c r="F21" s="17">
        <v>40805.300000000003</v>
      </c>
      <c r="G21" s="17">
        <v>17341.490000000002</v>
      </c>
      <c r="H21" s="17"/>
      <c r="I21" s="17"/>
      <c r="J21" s="17"/>
      <c r="K21" s="17"/>
      <c r="L21" s="17"/>
      <c r="M21" s="17"/>
      <c r="N21" s="17"/>
      <c r="O21" s="42">
        <f t="shared" si="1"/>
        <v>150701.45000000001</v>
      </c>
      <c r="Q21" s="57"/>
      <c r="R21" s="58">
        <f t="shared" si="2"/>
        <v>150701.45000000001</v>
      </c>
      <c r="S21" s="5" t="s">
        <v>99</v>
      </c>
      <c r="T21" s="5"/>
      <c r="U21" s="5"/>
      <c r="V21" s="5"/>
      <c r="W21" s="5"/>
      <c r="X21" s="5"/>
      <c r="Y21" s="5"/>
      <c r="Z21" s="5"/>
      <c r="AE21" s="74">
        <f t="shared" si="3"/>
        <v>150701.45000000001</v>
      </c>
    </row>
    <row r="22" spans="1:31" ht="16">
      <c r="A22" s="47">
        <v>1400</v>
      </c>
      <c r="B22" s="48" t="s">
        <v>87</v>
      </c>
      <c r="C22" s="59">
        <v>14994.32</v>
      </c>
      <c r="D22" s="42">
        <v>799.88</v>
      </c>
      <c r="E22" s="42"/>
      <c r="F22" s="42">
        <v>1651.14</v>
      </c>
      <c r="G22" s="42">
        <v>828.71</v>
      </c>
      <c r="H22" s="42"/>
      <c r="I22" s="42"/>
      <c r="J22" s="42"/>
      <c r="K22" s="42"/>
      <c r="L22" s="42"/>
      <c r="M22" s="42"/>
      <c r="N22" s="42"/>
      <c r="O22" s="42">
        <f t="shared" si="1"/>
        <v>18274.05</v>
      </c>
      <c r="Q22" s="57"/>
      <c r="R22" s="58">
        <f t="shared" si="2"/>
        <v>18274.05</v>
      </c>
      <c r="S22" s="5" t="s">
        <v>97</v>
      </c>
      <c r="T22" s="5"/>
      <c r="U22" s="5"/>
      <c r="V22" s="5"/>
      <c r="W22" s="5"/>
      <c r="X22" s="5"/>
      <c r="Y22" s="5"/>
      <c r="Z22" s="5"/>
      <c r="AE22" s="74">
        <f t="shared" si="3"/>
        <v>18274.05</v>
      </c>
    </row>
    <row r="23" spans="1:31" ht="16">
      <c r="A23" s="53">
        <v>6119</v>
      </c>
      <c r="B23" s="54" t="s">
        <v>90</v>
      </c>
      <c r="C23" s="17">
        <v>4318.88</v>
      </c>
      <c r="D23" s="55"/>
      <c r="E23" s="55"/>
      <c r="F23" s="17">
        <v>30826.35</v>
      </c>
      <c r="G23" s="17">
        <v>9462.11</v>
      </c>
      <c r="H23" s="17"/>
      <c r="I23" s="17"/>
      <c r="J23" s="17"/>
      <c r="K23" s="17"/>
      <c r="L23" s="17"/>
      <c r="M23" s="17"/>
      <c r="N23" s="17"/>
      <c r="O23" s="42">
        <f t="shared" ref="O23" si="4">SUM(C23:N23)</f>
        <v>44607.34</v>
      </c>
      <c r="Q23" s="57"/>
      <c r="R23" s="58"/>
      <c r="S23" s="5"/>
      <c r="T23" s="5"/>
      <c r="U23" s="5"/>
      <c r="V23" s="5"/>
      <c r="W23" s="5"/>
      <c r="X23" s="5"/>
      <c r="Y23" s="5"/>
      <c r="Z23" s="5"/>
      <c r="AE23" s="74">
        <f t="shared" si="3"/>
        <v>44607.34</v>
      </c>
    </row>
    <row r="24" spans="1:31" ht="16">
      <c r="A24" s="8"/>
      <c r="B24" s="5"/>
      <c r="C24" s="59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Q24" s="57"/>
      <c r="R24" s="5"/>
      <c r="S24" s="5"/>
      <c r="T24" s="5"/>
      <c r="U24" s="5"/>
      <c r="V24" s="5"/>
      <c r="W24" s="5"/>
      <c r="X24" s="5"/>
      <c r="Y24" s="5"/>
      <c r="Z24" s="5"/>
    </row>
    <row r="25" spans="1:31" ht="16">
      <c r="A25" s="8"/>
      <c r="B25" s="5" t="s">
        <v>61</v>
      </c>
      <c r="C25" s="39">
        <f>SUM(C7:C23)</f>
        <v>1221114.3252000001</v>
      </c>
      <c r="D25" s="39">
        <f>SUM(D7:D23)</f>
        <v>920608.54240000003</v>
      </c>
      <c r="E25" s="39">
        <f>SUM(E7:E23)</f>
        <v>566698.20650000009</v>
      </c>
      <c r="F25" s="39">
        <f>SUM(F7:F23)</f>
        <v>1202223.4692999998</v>
      </c>
      <c r="G25" s="39">
        <f t="shared" ref="G25:N25" si="5">SUM(G7:G23)</f>
        <v>918260.71999999986</v>
      </c>
      <c r="H25" s="39">
        <f t="shared" si="5"/>
        <v>0</v>
      </c>
      <c r="I25" s="39">
        <f t="shared" si="5"/>
        <v>0</v>
      </c>
      <c r="J25" s="39">
        <f t="shared" si="5"/>
        <v>0</v>
      </c>
      <c r="K25" s="14">
        <f t="shared" si="5"/>
        <v>0</v>
      </c>
      <c r="L25" s="14">
        <f t="shared" si="5"/>
        <v>0</v>
      </c>
      <c r="M25" s="14">
        <f t="shared" si="5"/>
        <v>0</v>
      </c>
      <c r="N25" s="14">
        <f t="shared" si="5"/>
        <v>0</v>
      </c>
      <c r="O25" s="14">
        <f>SUM(C25:N25)</f>
        <v>4828905.2633999996</v>
      </c>
      <c r="Q25" s="57">
        <f>SUM(Q7:Q24)</f>
        <v>10617166.870000003</v>
      </c>
      <c r="R25" s="5"/>
      <c r="S25" s="14"/>
      <c r="T25" s="5"/>
      <c r="U25" s="5"/>
      <c r="V25" s="5"/>
      <c r="W25" s="5"/>
      <c r="X25" s="5"/>
      <c r="Y25" s="5"/>
      <c r="Z25" s="5"/>
    </row>
    <row r="26" spans="1:31" ht="16">
      <c r="A26" s="8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Q26" s="57"/>
      <c r="R26" s="5"/>
      <c r="S26" s="5"/>
      <c r="T26" s="5"/>
      <c r="U26" s="5"/>
      <c r="V26" s="5"/>
      <c r="W26" s="5"/>
      <c r="X26" s="5"/>
      <c r="Y26" s="5"/>
      <c r="Z26" s="5"/>
    </row>
    <row r="27" spans="1:31" ht="16">
      <c r="A27" s="8"/>
      <c r="B27" s="5" t="s">
        <v>78</v>
      </c>
      <c r="C27" s="14"/>
      <c r="D27" s="14"/>
      <c r="E27" s="14">
        <f>40000</f>
        <v>40000</v>
      </c>
      <c r="F27" s="14">
        <v>4224</v>
      </c>
      <c r="G27" s="14"/>
      <c r="H27" s="14"/>
      <c r="I27" s="42"/>
      <c r="J27" s="42"/>
      <c r="K27" s="42"/>
      <c r="L27" s="42"/>
      <c r="M27" s="42"/>
      <c r="N27" s="14"/>
      <c r="O27" s="14">
        <f t="shared" ref="O27:O30" si="6">SUM(C27:N27)</f>
        <v>44224</v>
      </c>
      <c r="Q27" s="57">
        <f>O27</f>
        <v>44224</v>
      </c>
      <c r="R27" s="5"/>
      <c r="S27" s="5"/>
      <c r="T27" s="5"/>
      <c r="U27" s="5"/>
      <c r="V27" s="5"/>
      <c r="W27" s="5"/>
      <c r="X27" s="5"/>
      <c r="Y27" s="5"/>
      <c r="Z27" s="5"/>
      <c r="AE27" s="74">
        <f>O27</f>
        <v>44224</v>
      </c>
    </row>
    <row r="28" spans="1:31" ht="16">
      <c r="A28" s="8"/>
      <c r="B28" s="5" t="s">
        <v>80</v>
      </c>
      <c r="C28" s="14">
        <v>139949.22</v>
      </c>
      <c r="D28" s="14">
        <v>39961.910000000003</v>
      </c>
      <c r="E28" s="14"/>
      <c r="F28" s="14"/>
      <c r="G28" s="14"/>
      <c r="H28" s="14"/>
      <c r="I28" s="42"/>
      <c r="J28" s="42"/>
      <c r="K28" s="42"/>
      <c r="L28" s="42"/>
      <c r="M28" s="42"/>
      <c r="N28" s="14"/>
      <c r="O28" s="14">
        <f t="shared" si="6"/>
        <v>179911.13</v>
      </c>
      <c r="Q28" s="57"/>
      <c r="R28" s="5"/>
      <c r="S28" s="5"/>
      <c r="T28" s="5"/>
      <c r="U28" s="5"/>
      <c r="V28" s="5"/>
      <c r="W28" s="5"/>
      <c r="X28" s="5"/>
      <c r="Y28" s="5"/>
      <c r="Z28" s="5"/>
      <c r="AE28">
        <f>550000</f>
        <v>550000</v>
      </c>
    </row>
    <row r="29" spans="1:31" ht="16">
      <c r="A29" s="8"/>
      <c r="B29" s="5" t="s">
        <v>81</v>
      </c>
      <c r="C29" s="14"/>
      <c r="D29" s="14"/>
      <c r="E29" s="14"/>
      <c r="F29" s="14"/>
      <c r="G29" s="14"/>
      <c r="H29" s="14"/>
      <c r="I29" s="42"/>
      <c r="J29" s="42"/>
      <c r="K29" s="42"/>
      <c r="L29" s="42"/>
      <c r="M29" s="42"/>
      <c r="N29" s="14"/>
      <c r="O29" s="14">
        <f t="shared" si="6"/>
        <v>0</v>
      </c>
      <c r="Q29" s="57"/>
      <c r="R29" s="5"/>
      <c r="S29" s="5"/>
      <c r="T29" s="5"/>
      <c r="U29" s="5"/>
      <c r="V29" s="5"/>
      <c r="W29" s="5"/>
      <c r="X29" s="5"/>
      <c r="Y29" s="5"/>
      <c r="Z29" s="5"/>
      <c r="AE29" s="74">
        <f>O29</f>
        <v>0</v>
      </c>
    </row>
    <row r="30" spans="1:31" ht="16">
      <c r="A30" s="8"/>
      <c r="B30" s="5" t="s">
        <v>79</v>
      </c>
      <c r="C30" s="14"/>
      <c r="D30" s="39">
        <f>2502+1950</f>
        <v>4452</v>
      </c>
      <c r="E30" s="14"/>
      <c r="F30" s="14">
        <f>1000+61571.45+1.2+8.6+120+8850.97</f>
        <v>71552.219999999987</v>
      </c>
      <c r="G30" s="14"/>
      <c r="H30" s="14"/>
      <c r="I30" s="42"/>
      <c r="J30" s="42"/>
      <c r="K30" s="42"/>
      <c r="L30" s="42"/>
      <c r="M30" s="42"/>
      <c r="N30" s="14"/>
      <c r="O30" s="14">
        <f t="shared" si="6"/>
        <v>76004.219999999987</v>
      </c>
      <c r="Q30" s="57">
        <v>3535</v>
      </c>
      <c r="R30" s="5"/>
      <c r="S30" s="5" t="s">
        <v>109</v>
      </c>
      <c r="T30" s="5"/>
      <c r="U30" s="5"/>
      <c r="V30" s="5"/>
      <c r="W30" s="5"/>
      <c r="X30" s="5"/>
      <c r="Y30" s="5"/>
      <c r="Z30" s="5"/>
      <c r="AE30" s="74">
        <f>O30</f>
        <v>76004.219999999987</v>
      </c>
    </row>
    <row r="31" spans="1:31" ht="16">
      <c r="A31" s="8"/>
      <c r="B31" s="5" t="s">
        <v>91</v>
      </c>
      <c r="C31" s="14"/>
      <c r="D31" s="39"/>
      <c r="E31" s="14"/>
      <c r="F31" s="14"/>
      <c r="G31" s="14"/>
      <c r="H31" s="14"/>
      <c r="I31" s="42"/>
      <c r="J31" s="42"/>
      <c r="K31" s="42"/>
      <c r="L31" s="42"/>
      <c r="M31" s="42"/>
      <c r="N31" s="14"/>
      <c r="O31" s="14"/>
      <c r="Q31" s="57"/>
      <c r="R31" s="5"/>
      <c r="S31" s="5"/>
      <c r="T31" s="5"/>
      <c r="U31" s="5"/>
      <c r="V31" s="5"/>
      <c r="W31" s="5"/>
      <c r="X31" s="5"/>
      <c r="Y31" s="5"/>
      <c r="Z31" s="5"/>
    </row>
    <row r="32" spans="1:31" ht="16">
      <c r="A32" s="8"/>
      <c r="B32" s="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Q32" s="57"/>
      <c r="R32" s="5"/>
      <c r="S32" s="5"/>
      <c r="T32" s="5"/>
      <c r="U32" s="5"/>
      <c r="V32" s="5"/>
      <c r="W32" s="5"/>
      <c r="X32" s="5"/>
      <c r="Y32" s="5"/>
      <c r="Z32" s="5"/>
    </row>
    <row r="33" spans="1:31" ht="16">
      <c r="A33" s="8"/>
      <c r="B33" s="5" t="s">
        <v>62</v>
      </c>
      <c r="C33" s="50">
        <f>104.7+20+3.6+20+60.1+33+20+262.5+129.26+15895.2</f>
        <v>16548.36</v>
      </c>
      <c r="D33" s="50">
        <f>17933.48+34.5</f>
        <v>17967.98</v>
      </c>
      <c r="E33" s="50">
        <f>325+28861.01+551129.55-550824.55-13335.62</f>
        <v>16155.390000000009</v>
      </c>
      <c r="F33" s="50"/>
      <c r="G33" s="50">
        <f>6959.1+894583.25-893904.95</f>
        <v>7637.4000000000233</v>
      </c>
      <c r="H33" s="50"/>
      <c r="I33" s="50"/>
      <c r="J33" s="50"/>
      <c r="K33" s="50"/>
      <c r="L33" s="50"/>
      <c r="M33" s="50"/>
      <c r="N33" s="50"/>
      <c r="O33" s="14">
        <f>SUM(C33:N33)</f>
        <v>58309.130000000026</v>
      </c>
      <c r="Q33" s="57">
        <v>115389</v>
      </c>
      <c r="R33" s="5"/>
      <c r="S33" s="5"/>
      <c r="T33" s="5"/>
      <c r="U33" s="5"/>
      <c r="V33" s="5"/>
      <c r="W33" s="5"/>
      <c r="X33" s="5"/>
      <c r="Y33" s="5"/>
      <c r="Z33" s="5"/>
      <c r="AE33" s="74">
        <f>O33</f>
        <v>58309.130000000026</v>
      </c>
    </row>
    <row r="34" spans="1:31" ht="15.75" customHeight="1" thickBot="1">
      <c r="A34" s="8"/>
      <c r="B34" s="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Q34" s="5"/>
      <c r="R34" s="14">
        <f>F7-F42</f>
        <v>733530.46149999986</v>
      </c>
      <c r="S34" s="5"/>
      <c r="T34" s="78"/>
      <c r="U34" s="5"/>
      <c r="V34" s="5"/>
      <c r="W34" s="5"/>
      <c r="X34" s="5"/>
      <c r="Y34" s="5"/>
      <c r="Z34" s="5"/>
      <c r="AE34" s="74"/>
    </row>
    <row r="35" spans="1:31" ht="15.75" customHeight="1" thickBot="1">
      <c r="A35" s="30" t="s">
        <v>63</v>
      </c>
      <c r="B35" s="31"/>
      <c r="C35" s="32">
        <f>SUM(C25:C33)</f>
        <v>1377611.9052000002</v>
      </c>
      <c r="D35" s="32">
        <f t="shared" ref="D35:N35" si="7">SUM(D25:D33)</f>
        <v>982990.43240000005</v>
      </c>
      <c r="E35" s="32">
        <f t="shared" si="7"/>
        <v>622853.5965000001</v>
      </c>
      <c r="F35" s="32">
        <f t="shared" si="7"/>
        <v>1277999.6892999997</v>
      </c>
      <c r="G35" s="32">
        <f t="shared" si="7"/>
        <v>925898.11999999988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3">
        <f>SUM(C35:N35)</f>
        <v>5187353.7434</v>
      </c>
      <c r="Q35" s="5"/>
      <c r="R35" s="5"/>
      <c r="S35" s="5"/>
      <c r="T35" s="14"/>
      <c r="U35" s="5"/>
      <c r="V35" s="5"/>
      <c r="W35" s="5"/>
      <c r="X35" s="14">
        <f>C37-O35</f>
        <v>8488439.2566</v>
      </c>
      <c r="Y35" s="5" t="s">
        <v>86</v>
      </c>
      <c r="Z35" s="5"/>
      <c r="AE35" s="74">
        <f>SUM(AE7:AE34)</f>
        <v>5557442.6133999992</v>
      </c>
    </row>
    <row r="36" spans="1:31" ht="16">
      <c r="A36" s="2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5"/>
      <c r="Q36" s="5"/>
      <c r="R36" s="5"/>
      <c r="S36" s="5"/>
      <c r="T36" s="77"/>
      <c r="U36" s="5"/>
      <c r="V36" s="5"/>
      <c r="W36" s="5"/>
      <c r="X36" s="5"/>
      <c r="Y36" s="5"/>
      <c r="Z36" s="5"/>
    </row>
    <row r="37" spans="1:31" ht="16">
      <c r="A37" s="8"/>
      <c r="B37" s="36" t="s">
        <v>64</v>
      </c>
      <c r="C37" s="14">
        <f>ENTRY!B16</f>
        <v>13675793</v>
      </c>
      <c r="D37" s="14"/>
      <c r="E37" s="14"/>
      <c r="F37" s="14"/>
      <c r="G37" s="14"/>
      <c r="H37" s="14"/>
      <c r="I37" s="14"/>
      <c r="J37" s="14"/>
      <c r="K37" s="14"/>
      <c r="L37" s="14"/>
      <c r="M37" s="5"/>
      <c r="N37" s="37" t="s">
        <v>65</v>
      </c>
      <c r="O37" s="38">
        <f>O35-C37</f>
        <v>-8488439.2566</v>
      </c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31" ht="16">
      <c r="A38" s="8"/>
      <c r="B38" s="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/>
      <c r="N38" s="36"/>
      <c r="O38" s="38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31" ht="16">
      <c r="A39" s="8"/>
      <c r="B39" s="5" t="s">
        <v>66</v>
      </c>
      <c r="C39" s="14">
        <f>3287.91+519527.48+261.51+156.25</f>
        <v>523233.14999999997</v>
      </c>
      <c r="D39" s="14">
        <f>5706.6+597156.77+155+771.25</f>
        <v>603789.62</v>
      </c>
      <c r="E39" s="14">
        <f>3538.43+607757.71+158.75</f>
        <v>611454.89</v>
      </c>
      <c r="F39" s="14">
        <f>529190+2166.8+215.5+60.8</f>
        <v>531633.10000000009</v>
      </c>
      <c r="G39" s="14">
        <f>203+215+489709.14+2417.13+39.27</f>
        <v>492583.54000000004</v>
      </c>
      <c r="H39" s="14"/>
      <c r="I39" s="14"/>
      <c r="J39" s="14"/>
      <c r="K39" s="14"/>
      <c r="L39" s="14"/>
      <c r="M39" s="14"/>
      <c r="N39" s="14"/>
      <c r="O39" s="14">
        <f>SUM(C39:N39)</f>
        <v>2762694.3000000003</v>
      </c>
      <c r="Q39" s="14"/>
      <c r="R39" s="5"/>
      <c r="S39" s="5"/>
      <c r="T39" s="5"/>
      <c r="U39" s="5"/>
      <c r="V39" s="5"/>
      <c r="W39" s="5"/>
      <c r="X39" s="57"/>
      <c r="Y39" s="5"/>
      <c r="Z39" s="5"/>
    </row>
    <row r="40" spans="1:31" ht="16">
      <c r="A40" s="8"/>
      <c r="B40" s="5" t="s">
        <v>67</v>
      </c>
      <c r="C40" s="14">
        <f>296037.89+108467.84</f>
        <v>404505.73</v>
      </c>
      <c r="D40" s="14">
        <f>350507.92+130.6+107810</f>
        <v>458448.51999999996</v>
      </c>
      <c r="E40" s="14">
        <f>352534.35+109549.34</f>
        <v>462083.68999999994</v>
      </c>
      <c r="F40" s="14">
        <f>486958.09-2168.8</f>
        <v>484789.29000000004</v>
      </c>
      <c r="G40" s="14">
        <f>358009.47+109668.79</f>
        <v>467678.25999999995</v>
      </c>
      <c r="H40" s="14"/>
      <c r="I40" s="14"/>
      <c r="J40" s="14"/>
      <c r="K40" s="14"/>
      <c r="L40" s="14"/>
      <c r="M40" s="14"/>
      <c r="N40" s="14"/>
      <c r="O40" s="14">
        <f>SUM(C40:N40)</f>
        <v>2277505.4899999998</v>
      </c>
      <c r="Q40" s="14"/>
      <c r="R40" s="5"/>
      <c r="S40" s="5"/>
      <c r="T40" s="5"/>
      <c r="U40" s="76"/>
      <c r="V40" s="5"/>
      <c r="W40" s="5"/>
      <c r="X40" s="57"/>
      <c r="Y40" s="5"/>
      <c r="Z40" s="5"/>
    </row>
    <row r="41" spans="1:31" ht="16">
      <c r="A41" s="8"/>
      <c r="B41" s="5" t="s">
        <v>100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>
        <f>SUM(C41:N41)</f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31" ht="16">
      <c r="A42" s="49">
        <v>3.613696721078364E-2</v>
      </c>
      <c r="B42" s="5" t="s">
        <v>75</v>
      </c>
      <c r="C42" s="60">
        <v>27936.67</v>
      </c>
      <c r="D42" s="60">
        <v>26034</v>
      </c>
      <c r="E42" s="60">
        <f>69844.26-D42-C42</f>
        <v>15873.589999999997</v>
      </c>
      <c r="F42" s="60">
        <f>98417.32-C42-D42-E42</f>
        <v>28573.060000000012</v>
      </c>
      <c r="G42" s="60">
        <f>122773.09-C42-D42-E42-F42</f>
        <v>24355.76999999999</v>
      </c>
      <c r="H42" s="60"/>
      <c r="I42" s="60"/>
      <c r="J42" s="60"/>
      <c r="K42" s="60"/>
      <c r="L42" s="60"/>
      <c r="M42" s="60"/>
      <c r="N42" s="60"/>
      <c r="O42" s="14">
        <f>SUM(C42:N42)</f>
        <v>122773.09</v>
      </c>
      <c r="Q42" s="14"/>
      <c r="R42" s="5"/>
      <c r="S42" s="5"/>
      <c r="T42" s="5"/>
      <c r="U42" s="5"/>
      <c r="V42" s="5"/>
      <c r="W42" s="5"/>
      <c r="X42" s="5"/>
      <c r="Y42" s="5"/>
      <c r="Z42" s="5"/>
    </row>
    <row r="43" spans="1:31" ht="15.75" customHeight="1" thickBot="1">
      <c r="A43" s="8"/>
      <c r="B43" s="5"/>
      <c r="C43" s="14"/>
      <c r="D43" s="14"/>
      <c r="E43" s="14"/>
      <c r="F43" s="14"/>
      <c r="G43" s="14"/>
      <c r="H43" s="14"/>
      <c r="I43" s="14"/>
      <c r="J43" s="14"/>
      <c r="K43" s="14"/>
      <c r="L43" s="14" t="s">
        <v>30</v>
      </c>
      <c r="M43" s="14"/>
      <c r="N43" s="14"/>
      <c r="O43" s="14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31" ht="15.75" customHeight="1" thickBot="1">
      <c r="A44" s="30" t="s">
        <v>68</v>
      </c>
      <c r="B44" s="31"/>
      <c r="C44" s="32">
        <f>SUM(C39:C42)</f>
        <v>955675.54999999993</v>
      </c>
      <c r="D44" s="32">
        <f t="shared" ref="D44:L44" si="8">SUM(D39:D42)</f>
        <v>1088272.1399999999</v>
      </c>
      <c r="E44" s="32">
        <f>SUM(E39:E42)</f>
        <v>1089412.1700000002</v>
      </c>
      <c r="F44" s="32">
        <f>SUM(F39:F40)</f>
        <v>1016422.3900000001</v>
      </c>
      <c r="G44" s="32">
        <f t="shared" si="8"/>
        <v>984617.57000000007</v>
      </c>
      <c r="H44" s="32">
        <f t="shared" si="8"/>
        <v>0</v>
      </c>
      <c r="I44" s="32">
        <f t="shared" si="8"/>
        <v>0</v>
      </c>
      <c r="J44" s="32">
        <f>SUM(J39:J42)</f>
        <v>0</v>
      </c>
      <c r="K44" s="32">
        <f t="shared" si="8"/>
        <v>0</v>
      </c>
      <c r="L44" s="32">
        <f t="shared" si="8"/>
        <v>0</v>
      </c>
      <c r="M44" s="32">
        <f>SUM(M39:M42)</f>
        <v>0</v>
      </c>
      <c r="N44" s="32">
        <f>SUM(N39:N42)</f>
        <v>0</v>
      </c>
      <c r="O44" s="33">
        <f>SUM(C44:N44)</f>
        <v>5134399.82</v>
      </c>
      <c r="Q44" s="64">
        <f>O44/365</f>
        <v>14066.848821917809</v>
      </c>
      <c r="R44" s="58">
        <f>((N52-60)*Q44)</f>
        <v>3970341.7640849315</v>
      </c>
      <c r="S44" s="5"/>
      <c r="T44" s="64"/>
      <c r="U44" s="5"/>
      <c r="V44" s="5"/>
      <c r="W44" s="5"/>
      <c r="X44" s="57"/>
      <c r="Y44" s="5"/>
      <c r="Z44" s="5"/>
    </row>
    <row r="45" spans="1:31" ht="16">
      <c r="A45" s="2"/>
      <c r="B45" s="34" t="s">
        <v>69</v>
      </c>
      <c r="C45" s="35">
        <f>($C$46-(SUM($C$44:C44)))</f>
        <v>12244328.449999999</v>
      </c>
      <c r="D45" s="35">
        <f>($C$46-(SUM($C$44:D44)))</f>
        <v>11156056.310000001</v>
      </c>
      <c r="E45" s="35">
        <f>($C$46-(SUM($C$44:E44)))</f>
        <v>10066644.140000001</v>
      </c>
      <c r="F45" s="35">
        <f>($C$46-(SUM($C$44:F44)))</f>
        <v>9050221.75</v>
      </c>
      <c r="G45" s="35">
        <f>($C$46-(SUM($C$44:G44)))</f>
        <v>8065604.1799999997</v>
      </c>
      <c r="H45" s="35">
        <f>($C$46-(SUM($C$44:H44)))</f>
        <v>8065604.1799999997</v>
      </c>
      <c r="I45" s="35">
        <f>($C$46-(SUM($C$44:I44)))</f>
        <v>8065604.1799999997</v>
      </c>
      <c r="J45" s="35">
        <f>($C$46-(SUM($C$44:J44)))</f>
        <v>8065604.1799999997</v>
      </c>
      <c r="K45" s="35">
        <f>($C$46-(SUM($C$44:K44)))</f>
        <v>8065604.1799999997</v>
      </c>
      <c r="L45" s="35">
        <f>($C$46-(SUM($C$44:L44)))</f>
        <v>8065604.1799999997</v>
      </c>
      <c r="M45" s="35">
        <f>($C$46-(SUM($C$44:M44)))-C47</f>
        <v>8065604.1799999997</v>
      </c>
      <c r="N45" s="35">
        <f>($C$46-(SUM($C$44:N44)))</f>
        <v>8065604.1799999997</v>
      </c>
      <c r="O45" s="5"/>
      <c r="Q45" s="5"/>
      <c r="R45" s="5"/>
      <c r="S45" s="5"/>
      <c r="T45" s="58"/>
      <c r="U45" s="5"/>
      <c r="V45" s="5"/>
      <c r="W45" s="5"/>
      <c r="X45" s="5"/>
      <c r="Y45" s="5"/>
      <c r="Z45" s="5"/>
    </row>
    <row r="46" spans="1:31" ht="16">
      <c r="A46" s="8"/>
      <c r="B46" s="34" t="s">
        <v>70</v>
      </c>
      <c r="C46" s="14">
        <f>ENTRY!B18</f>
        <v>13200004</v>
      </c>
      <c r="D46" s="14"/>
      <c r="E46" s="14"/>
      <c r="F46" s="14"/>
      <c r="G46" s="77"/>
      <c r="H46" s="14"/>
      <c r="I46" s="14"/>
      <c r="J46" s="14"/>
      <c r="K46" s="14"/>
      <c r="L46" s="14"/>
      <c r="M46" s="5"/>
      <c r="N46" s="37" t="s">
        <v>71</v>
      </c>
      <c r="O46" s="38">
        <f>C46-O44</f>
        <v>8065604.1799999997</v>
      </c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31" ht="16">
      <c r="A47" s="8"/>
      <c r="B47" s="40"/>
      <c r="C47" s="41"/>
      <c r="D47" s="14"/>
      <c r="E47" s="14"/>
      <c r="F47" s="14"/>
      <c r="G47" s="14"/>
      <c r="H47" s="14"/>
      <c r="I47" s="14"/>
      <c r="J47" s="14"/>
      <c r="K47" s="14"/>
      <c r="L47" s="14"/>
      <c r="M47" s="36"/>
      <c r="N47" s="36"/>
      <c r="O47" s="38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31" ht="16">
      <c r="A48" s="8"/>
      <c r="B48" s="5" t="s">
        <v>72</v>
      </c>
      <c r="C48" s="14">
        <f>C35-C44</f>
        <v>421936.35520000022</v>
      </c>
      <c r="D48" s="14">
        <f t="shared" ref="D48:N48" si="9">D35-D44</f>
        <v>-105281.70759999985</v>
      </c>
      <c r="E48" s="14">
        <f t="shared" si="9"/>
        <v>-466558.57350000006</v>
      </c>
      <c r="F48" s="14">
        <f>F35-F44</f>
        <v>261577.29929999961</v>
      </c>
      <c r="G48" s="14">
        <f t="shared" si="9"/>
        <v>-58719.450000000186</v>
      </c>
      <c r="H48" s="14">
        <f t="shared" si="9"/>
        <v>0</v>
      </c>
      <c r="I48" s="14">
        <f t="shared" si="9"/>
        <v>0</v>
      </c>
      <c r="J48" s="14">
        <f t="shared" si="9"/>
        <v>0</v>
      </c>
      <c r="K48" s="14">
        <f t="shared" si="9"/>
        <v>0</v>
      </c>
      <c r="L48" s="14">
        <f t="shared" si="9"/>
        <v>0</v>
      </c>
      <c r="M48" s="14">
        <f t="shared" si="9"/>
        <v>0</v>
      </c>
      <c r="N48" s="14">
        <f t="shared" si="9"/>
        <v>0</v>
      </c>
      <c r="O48" s="14">
        <f>O35-O44</f>
        <v>52953.923399999738</v>
      </c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6">
      <c r="A49" s="8"/>
      <c r="B49" s="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6">
      <c r="A50" s="8"/>
      <c r="B50" s="5" t="s">
        <v>82</v>
      </c>
      <c r="C50" s="14">
        <f>C5+C35-C44</f>
        <v>5183335.1252000006</v>
      </c>
      <c r="D50" s="14">
        <f>C50+D48</f>
        <v>5078053.4176000003</v>
      </c>
      <c r="E50" s="14">
        <f t="shared" ref="E50:N50" si="10">D50+E48</f>
        <v>4611494.8441000003</v>
      </c>
      <c r="F50" s="14">
        <f>E50+F48</f>
        <v>4873072.1434000004</v>
      </c>
      <c r="G50" s="14">
        <f t="shared" si="10"/>
        <v>4814352.6934000002</v>
      </c>
      <c r="H50" s="14">
        <f t="shared" si="10"/>
        <v>4814352.6934000002</v>
      </c>
      <c r="I50" s="14">
        <f t="shared" si="10"/>
        <v>4814352.6934000002</v>
      </c>
      <c r="J50" s="14">
        <f t="shared" si="10"/>
        <v>4814352.6934000002</v>
      </c>
      <c r="K50" s="14">
        <f t="shared" si="10"/>
        <v>4814352.6934000002</v>
      </c>
      <c r="L50" s="14">
        <f t="shared" si="10"/>
        <v>4814352.6934000002</v>
      </c>
      <c r="M50" s="14">
        <f t="shared" si="10"/>
        <v>4814352.6934000002</v>
      </c>
      <c r="N50" s="14">
        <f t="shared" si="10"/>
        <v>4814352.6934000002</v>
      </c>
      <c r="O50" s="14">
        <f>C5+O48</f>
        <v>4814352.6934000002</v>
      </c>
      <c r="Q50" s="14"/>
      <c r="R50" s="14"/>
      <c r="S50" s="5"/>
      <c r="T50" s="5"/>
      <c r="U50" s="5"/>
      <c r="V50" s="5"/>
      <c r="W50" s="5"/>
      <c r="X50" s="5"/>
      <c r="Y50" s="5"/>
      <c r="Z50" s="5"/>
    </row>
    <row r="51" spans="1:26" ht="16">
      <c r="A51" s="8"/>
      <c r="B51" s="5" t="s">
        <v>73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6">
      <c r="A52" s="5"/>
      <c r="B52" s="72" t="s">
        <v>77</v>
      </c>
      <c r="C52" s="61">
        <f>C50/(('22-23 Exp'!N8-'22-23 Exp'!B8+'Cash Flow-Jan Update'!C44)/365)</f>
        <v>153.11655621203289</v>
      </c>
      <c r="D52" s="61">
        <f>D50/(('22-23 Exp'!N8-'22-23 Exp'!B8-'22-23 Exp'!C8+'Cash Flow-Jan Update'!C44+'Cash Flow-Jan Update'!D44)/365)</f>
        <v>153.03458953287947</v>
      </c>
      <c r="E52" s="61">
        <f>E50/(('22-23 Exp'!N8-'22-23 Exp'!B8-'22-23 Exp'!C8-'22-23 Exp'!D8+'Cash Flow-Jan Update'!C44+'Cash Flow-Jan Update'!D44+'Cash Flow-Jan Update'!E44)/365)</f>
        <v>137.88307446402541</v>
      </c>
      <c r="F52" s="61">
        <f>F50/(('22-23 Exp'!N8-'22-23 Exp'!B8-'22-23 Exp'!C8-'22-23 Exp'!D8-'22-23 Exp'!E8+'Cash Flow-Jan Update'!C44+'Cash Flow-Jan Update'!D44+'Cash Flow-Jan Update'!E44+'Cash Flow-Jan Update'!F44)/365)</f>
        <v>145.74111313696341</v>
      </c>
      <c r="G52" s="61">
        <f>G50/(('22-23 Exp'!N8-'22-23 Exp'!B8-'22-23 Exp'!C8-'22-23 Exp'!D8-'22-23 Exp'!E8-'22-23 Exp'!F8+'Cash Flow-Jan Update'!C44+'Cash Flow-Jan Update'!D44+'Cash Flow-Jan Update'!E44+'Cash Flow-Jan Update'!F44+'Cash Flow-Jan Update'!G44)/365)</f>
        <v>143.2905685090432</v>
      </c>
      <c r="H52" s="61">
        <f>H50/(('22-23 Exp'!N8-'22-23 Exp'!B8-'22-23 Exp'!C8-'22-23 Exp'!D8-'22-23 Exp'!E8-'22-23 Exp'!F8-'22-23 Exp'!G8+'Cash Flow-Jan Update'!C44+'Cash Flow-Jan Update'!D44+'Cash Flow-Jan Update'!E44+'Cash Flow-Jan Update'!F44+'Cash Flow-Jan Update'!G44+'Cash Flow-Jan Update'!H44)/365)</f>
        <v>156.04217981815802</v>
      </c>
      <c r="I52" s="61">
        <f>I50/(('22-23 Exp'!N8-'22-23 Exp'!B8-'22-23 Exp'!C8-'22-23 Exp'!D8-'22-23 Exp'!E8-'22-23 Exp'!F8-'22-23 Exp'!G8-'22-23 Exp'!H8+'Cash Flow-Jan Update'!C44+'Cash Flow-Jan Update'!D44+'Cash Flow-Jan Update'!E44+'Cash Flow-Jan Update'!F44+'Cash Flow-Jan Update'!G44+'Cash Flow-Jan Update'!H44+'Cash Flow-Jan Update'!I44)/365)</f>
        <v>171.83537331700873</v>
      </c>
      <c r="J52" s="61">
        <f>J50/(('22-23 Exp'!N8-'22-23 Exp'!B8-'22-23 Exp'!C8-'22-23 Exp'!D8-'22-23 Exp'!E8-'22-23 Exp'!F8-'22-23 Exp'!G8-'22-23 Exp'!H8-'22-23 Exp'!I8+'Cash Flow-Jan Update'!C44+'Cash Flow-Jan Update'!D44+'Cash Flow-Jan Update'!E44+'Cash Flow-Jan Update'!F44+'Cash Flow-Jan Update'!G44+'Cash Flow-Jan Update'!H44+'Cash Flow-Jan Update'!I44+'Cash Flow-Jan Update'!J44)/365)</f>
        <v>192.02464783235675</v>
      </c>
      <c r="K52" s="61">
        <f>K50/(('22-23 Exp'!N8-'22-23 Exp'!B8-'22-23 Exp'!C8-'22-23 Exp'!D8-'22-23 Exp'!E8-'22-23 Exp'!F8-'22-23 Exp'!G8-'22-23 Exp'!H8-'22-23 Exp'!I8-'22-23 Exp'!J8+'Cash Flow-Jan Update'!C44+'Cash Flow-Jan Update'!D44+'Cash Flow-Jan Update'!E44+'Cash Flow-Jan Update'!F44+'Cash Flow-Jan Update'!G44+'Cash Flow-Jan Update'!H44+'Cash Flow-Jan Update'!I44+'Cash Flow-Jan Update'!J44+'Cash Flow-Jan Update'!K44)/365)</f>
        <v>216.46893364453038</v>
      </c>
      <c r="L52" s="61">
        <f>L50/(('22-23 Exp'!N8-'22-23 Exp'!B8-'22-23 Exp'!C8-'22-23 Exp'!D8-'22-23 Exp'!E8-'22-23 Exp'!F8-'22-23 Exp'!G8-'22-23 Exp'!H8-'22-23 Exp'!I8-'22-23 Exp'!J8-'22-23 Exp'!K8+'Cash Flow-Jan Update'!C44+'Cash Flow-Jan Update'!D44+'Cash Flow-Jan Update'!E44+'Cash Flow-Jan Update'!F44+'Cash Flow-Jan Update'!G44+'Cash Flow-Jan Update'!H44+'Cash Flow-Jan Update'!I44+'Cash Flow-Jan Update'!J44+'Cash Flow-Jan Update'!K44+'Cash Flow-Jan Update'!L44)/365)</f>
        <v>246.49889929947469</v>
      </c>
      <c r="M52" s="61">
        <f>M50/(('22-23 Exp'!N8-'22-23 Exp'!B8-'22-23 Exp'!C8-'22-23 Exp'!D8-'22-23 Exp'!E8-'22-23 Exp'!F8-'22-23 Exp'!G8-'22-23 Exp'!H8-'22-23 Exp'!I8-'22-23 Exp'!J8-'22-23 Exp'!K8-'22-23 Exp'!L8+'Cash Flow-Jan Update'!C44+'Cash Flow-Jan Update'!D44+'Cash Flow-Jan Update'!E44+'Cash Flow-Jan Update'!F44+'Cash Flow-Jan Update'!G44+'Cash Flow-Jan Update'!H44+'Cash Flow-Jan Update'!I44+'Cash Flow-Jan Update'!J44+'Cash Flow-Jan Update'!K44+'Cash Flow-Jan Update'!L44+'Cash Flow-Jan Update'!M44)/365)</f>
        <v>288.08420327871124</v>
      </c>
      <c r="N52" s="61">
        <f>(N50/$O$44)*365</f>
        <v>342.24812922554986</v>
      </c>
      <c r="O52" s="61">
        <f>(O50/$O$44)*365</f>
        <v>342.24812922554986</v>
      </c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">
      <c r="A53" s="5"/>
      <c r="B53" s="5"/>
      <c r="C53" s="5"/>
      <c r="D53" s="5"/>
      <c r="E53" s="5"/>
      <c r="F53" s="5"/>
      <c r="G53" s="5"/>
      <c r="H53" s="5"/>
      <c r="I53" s="5"/>
      <c r="J53" s="14"/>
      <c r="K53" s="5"/>
      <c r="L53" s="5"/>
      <c r="M53" s="5"/>
      <c r="N53" s="5"/>
      <c r="O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6">
      <c r="A54" s="5"/>
      <c r="B54" s="73" t="s">
        <v>83</v>
      </c>
      <c r="C54" s="61">
        <f>((C50-C41)/$O$44)*365</f>
        <v>368.47876811782845</v>
      </c>
      <c r="D54" s="61">
        <f>((D50-D41)/$O$44)*365</f>
        <v>360.9943834533712</v>
      </c>
      <c r="E54" s="61">
        <f t="shared" ref="E54:N54" si="11">((E50-E41)/$O$44)*365</f>
        <v>327.82714184819753</v>
      </c>
      <c r="F54" s="61">
        <f t="shared" si="11"/>
        <v>346.42244365398875</v>
      </c>
      <c r="G54" s="61">
        <f>((G50-G41)/$O$44)*365</f>
        <v>342.24812922554986</v>
      </c>
      <c r="H54" s="61">
        <f t="shared" si="11"/>
        <v>342.24812922554986</v>
      </c>
      <c r="I54" s="61">
        <f t="shared" si="11"/>
        <v>342.24812922554986</v>
      </c>
      <c r="J54" s="61">
        <f t="shared" si="11"/>
        <v>342.24812922554986</v>
      </c>
      <c r="K54" s="61">
        <f t="shared" si="11"/>
        <v>342.24812922554986</v>
      </c>
      <c r="L54" s="61">
        <f t="shared" si="11"/>
        <v>342.24812922554986</v>
      </c>
      <c r="M54" s="61">
        <f t="shared" si="11"/>
        <v>342.24812922554986</v>
      </c>
      <c r="N54" s="61">
        <f t="shared" si="11"/>
        <v>342.24812922554986</v>
      </c>
      <c r="O54" s="61">
        <f>((O50-O41)/$O$44)*365</f>
        <v>342.24812922554986</v>
      </c>
      <c r="Q54" s="5"/>
      <c r="R54" s="5" t="s">
        <v>106</v>
      </c>
      <c r="S54" s="5"/>
      <c r="T54" s="5"/>
      <c r="U54" s="5"/>
      <c r="V54" s="5"/>
      <c r="W54" s="5"/>
      <c r="X54" s="5"/>
      <c r="Y54" s="5"/>
      <c r="Z54" s="5"/>
    </row>
    <row r="55" spans="1:26" ht="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6">
      <c r="A57" s="5"/>
      <c r="B57" s="5"/>
      <c r="C57" s="5"/>
      <c r="D57" s="5"/>
      <c r="E57" s="5"/>
      <c r="F57" s="5"/>
      <c r="G57" s="81"/>
      <c r="H57" s="5"/>
      <c r="I57" s="5"/>
      <c r="J57" s="5"/>
      <c r="K57" s="5"/>
      <c r="L57" s="5"/>
      <c r="M57" s="5"/>
      <c r="N57" s="5"/>
      <c r="O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6" hidden="1">
      <c r="A58" s="5" t="s">
        <v>105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6" hidden="1">
      <c r="A59" s="5" t="s">
        <v>101</v>
      </c>
      <c r="B59" s="5" t="s">
        <v>102</v>
      </c>
      <c r="C59" s="64">
        <f>C35-C44+C60</f>
        <v>509073.7052000002</v>
      </c>
      <c r="D59" s="64">
        <f>SUM(C35:D35)-SUM(C44:D44)+D60</f>
        <v>490929.34760000027</v>
      </c>
      <c r="E59" s="64">
        <f>SUM(C35:E35)-SUM(C44:E44)+E60</f>
        <v>111508.12409999987</v>
      </c>
      <c r="F59" s="64">
        <f>SUM(C35:F35)-SUM(C44:F44)+F60</f>
        <v>460222.77339999948</v>
      </c>
      <c r="G59" s="64"/>
      <c r="H59" s="64">
        <f>SUM(C35:H35)-SUM(C44:H44)+H60</f>
        <v>140093.98339999974</v>
      </c>
      <c r="I59" s="64">
        <f>SUM(C35:I35)-SUM(C44:I44)+I60</f>
        <v>227234.04339999973</v>
      </c>
      <c r="J59" s="64">
        <f>SUM(C35:J35)-SUM(C44:J44)+J60</f>
        <v>314374.10339999973</v>
      </c>
      <c r="K59" s="64">
        <f>SUM(C35:K35)-SUM(C44:K44)+K60</f>
        <v>401514.16339999973</v>
      </c>
      <c r="L59" s="64">
        <f>SUM(C35:L35)-SUM(C44:L44)+L60</f>
        <v>488654.22339999973</v>
      </c>
      <c r="M59" s="64">
        <f>SUM(C35:M35)-SUM(C44:M44)+M60</f>
        <v>575794.28339999972</v>
      </c>
      <c r="N59" s="64">
        <f>SUM(C35:N35)-SUM(C44:N44)+N60</f>
        <v>662934.34339999966</v>
      </c>
      <c r="O59" s="5"/>
      <c r="Q59" s="58">
        <f>O35-O44+N60</f>
        <v>662934.34339999966</v>
      </c>
      <c r="R59" s="5"/>
      <c r="S59" s="5"/>
      <c r="T59" s="5"/>
      <c r="U59" s="5"/>
      <c r="V59" s="5"/>
      <c r="W59" s="5"/>
      <c r="X59" s="5"/>
      <c r="Y59" s="5"/>
      <c r="Z59" s="5"/>
    </row>
    <row r="60" spans="1:26" ht="16" hidden="1">
      <c r="A60" s="5"/>
      <c r="B60" s="5" t="s">
        <v>103</v>
      </c>
      <c r="C60" s="64">
        <v>87137.35</v>
      </c>
      <c r="D60" s="64">
        <f>$C$60*2</f>
        <v>174274.7</v>
      </c>
      <c r="E60" s="64">
        <f>$C$60*3</f>
        <v>261412.05000000002</v>
      </c>
      <c r="F60" s="64">
        <f>$C$60*4</f>
        <v>348549.4</v>
      </c>
      <c r="G60" s="64"/>
      <c r="H60" s="64">
        <f>G60+(87140.06)</f>
        <v>87140.06</v>
      </c>
      <c r="I60" s="64">
        <f>H60+(87140.06)</f>
        <v>174280.12</v>
      </c>
      <c r="J60" s="64">
        <f>I60+(87140.06)</f>
        <v>261420.18</v>
      </c>
      <c r="K60" s="64">
        <f t="shared" ref="K60:N60" si="12">J60+(87140.06)</f>
        <v>348560.24</v>
      </c>
      <c r="L60" s="64">
        <f>K60+(87140.06)</f>
        <v>435700.3</v>
      </c>
      <c r="M60" s="64">
        <f t="shared" si="12"/>
        <v>522840.36</v>
      </c>
      <c r="N60" s="64">
        <f t="shared" si="12"/>
        <v>609980.41999999993</v>
      </c>
      <c r="O60" s="5"/>
      <c r="Q60" s="58">
        <f>N60</f>
        <v>609980.41999999993</v>
      </c>
      <c r="R60" s="5"/>
      <c r="S60" s="5"/>
      <c r="T60" s="5"/>
      <c r="U60" s="5"/>
      <c r="V60" s="5"/>
      <c r="W60" s="5"/>
      <c r="X60" s="5"/>
      <c r="Y60" s="5"/>
      <c r="Z60" s="5"/>
    </row>
    <row r="61" spans="1:26" ht="16" hidden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6" hidden="1">
      <c r="A62" s="5"/>
      <c r="B62" s="5" t="s">
        <v>104</v>
      </c>
      <c r="C62" s="70">
        <f>C59/C60</f>
        <v>5.8421986117319404</v>
      </c>
      <c r="D62" s="70">
        <f t="shared" ref="D62:N62" si="13">D59/D60</f>
        <v>2.8169857563949341</v>
      </c>
      <c r="E62" s="70">
        <f t="shared" si="13"/>
        <v>0.4265607652745918</v>
      </c>
      <c r="F62" s="70">
        <f t="shared" si="13"/>
        <v>1.320394679778532</v>
      </c>
      <c r="G62" s="70"/>
      <c r="H62" s="70">
        <f t="shared" si="13"/>
        <v>1.6076874792144937</v>
      </c>
      <c r="I62" s="70">
        <f t="shared" si="13"/>
        <v>1.3038437396072469</v>
      </c>
      <c r="J62" s="70">
        <f t="shared" si="13"/>
        <v>1.202562493071498</v>
      </c>
      <c r="K62" s="70">
        <f t="shared" si="13"/>
        <v>1.1519218698036235</v>
      </c>
      <c r="L62" s="70">
        <f t="shared" si="13"/>
        <v>1.1215374958428987</v>
      </c>
      <c r="M62" s="70">
        <f t="shared" si="13"/>
        <v>1.1012812465357489</v>
      </c>
      <c r="N62" s="70">
        <f t="shared" si="13"/>
        <v>1.0868124970306419</v>
      </c>
      <c r="O62" s="5"/>
      <c r="Q62" s="71">
        <f>Q59/Q60</f>
        <v>1.0868124970306419</v>
      </c>
      <c r="R62" s="5"/>
      <c r="S62" s="5"/>
      <c r="T62" s="5"/>
      <c r="U62" s="5"/>
      <c r="V62" s="5"/>
      <c r="W62" s="5"/>
      <c r="X62" s="5"/>
      <c r="Y62" s="5"/>
      <c r="Z62" s="5"/>
    </row>
    <row r="63" spans="1:26" ht="16" hidden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6" hidden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6">
      <c r="A65" s="5"/>
      <c r="B65" s="5"/>
      <c r="C65" s="5"/>
      <c r="D65" s="5"/>
      <c r="E65" s="5"/>
      <c r="F65" s="5"/>
      <c r="G65" s="77"/>
      <c r="H65" s="5"/>
      <c r="I65" s="5"/>
      <c r="J65" s="5"/>
      <c r="K65" s="5"/>
      <c r="L65" s="5"/>
      <c r="M65" s="5"/>
      <c r="N65" s="5"/>
      <c r="O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6">
      <c r="A66" s="5"/>
      <c r="B66" s="5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72" t="s">
        <v>101</v>
      </c>
      <c r="N66" s="5" t="s">
        <v>102</v>
      </c>
      <c r="O66" s="58">
        <f>AE35-8107997.75-(3890507.36+373160)+102240.21+O67+610571</f>
        <v>-5055741.4066000003</v>
      </c>
      <c r="P66" t="s">
        <v>110</v>
      </c>
      <c r="Q66" s="58" t="s">
        <v>116</v>
      </c>
      <c r="R66" s="5"/>
      <c r="S66" s="5"/>
      <c r="T66" s="5"/>
      <c r="U66" s="5"/>
      <c r="V66" s="5"/>
      <c r="W66" s="5"/>
      <c r="X66" s="5"/>
      <c r="Y66" s="5"/>
      <c r="Z66" s="5"/>
    </row>
    <row r="67" spans="1:26" ht="16">
      <c r="A67" s="5"/>
      <c r="B67" s="5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5"/>
      <c r="N67" s="5" t="s">
        <v>103</v>
      </c>
      <c r="O67" s="58">
        <f>(87137.35*4)+(87140.06*8)</f>
        <v>1045669.88</v>
      </c>
      <c r="Q67" s="58" t="s">
        <v>108</v>
      </c>
      <c r="R67" s="5"/>
      <c r="S67" s="5"/>
      <c r="T67" s="58"/>
      <c r="U67" s="5"/>
      <c r="V67" s="5"/>
      <c r="W67" s="5"/>
      <c r="X67" s="5"/>
      <c r="Y67" s="5"/>
      <c r="Z67" s="5"/>
    </row>
    <row r="68" spans="1:26" ht="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6">
      <c r="A69" s="5"/>
      <c r="B69" s="5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5"/>
      <c r="N69" s="5" t="s">
        <v>104</v>
      </c>
      <c r="O69" s="70">
        <f t="shared" ref="O69" si="14">O66/O67</f>
        <v>-4.8349307016474459</v>
      </c>
      <c r="Q69" s="5" t="s">
        <v>107</v>
      </c>
      <c r="R69" s="58">
        <f>1.1*O67</f>
        <v>1150236.868</v>
      </c>
      <c r="S69" s="5"/>
      <c r="T69" s="75">
        <f>O66-R69</f>
        <v>-6205978.2746000001</v>
      </c>
      <c r="U69" s="5" t="s">
        <v>117</v>
      </c>
      <c r="V69" s="5"/>
      <c r="W69" s="5"/>
      <c r="X69" s="58"/>
      <c r="Y69" s="5"/>
      <c r="Z69" s="5"/>
    </row>
    <row r="70" spans="1:26" ht="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 t="s">
        <v>111</v>
      </c>
      <c r="N71" s="5"/>
      <c r="O71" s="5"/>
      <c r="Q71" s="5"/>
      <c r="R71" s="5"/>
      <c r="S71" s="5"/>
      <c r="T71" s="5"/>
      <c r="U71" s="5"/>
      <c r="V71" s="5"/>
      <c r="W71" s="5"/>
      <c r="X71" s="58"/>
      <c r="Y71" s="5"/>
      <c r="Z71" s="5"/>
    </row>
    <row r="72" spans="1:26" ht="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1">
    <mergeCell ref="A5:B5"/>
  </mergeCells>
  <pageMargins left="0.7" right="0.7" top="0.75" bottom="0.75" header="0" footer="0"/>
  <pageSetup orientation="landscape" r:id="rId1"/>
  <headerFooter>
    <oddFooter>&amp;L&amp;D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0" sqref="F10"/>
    </sheetView>
  </sheetViews>
  <sheetFormatPr baseColWidth="10" defaultColWidth="14.33203125" defaultRowHeight="15" customHeight="1"/>
  <cols>
    <col min="1" max="1" width="8.33203125" customWidth="1"/>
    <col min="2" max="2" width="29.6640625" customWidth="1"/>
    <col min="3" max="3" width="17" bestFit="1" customWidth="1"/>
    <col min="4" max="5" width="14.6640625" bestFit="1" customWidth="1"/>
    <col min="6" max="7" width="13.83203125" customWidth="1"/>
    <col min="8" max="10" width="15.6640625" bestFit="1" customWidth="1"/>
    <col min="11" max="12" width="13.83203125" customWidth="1"/>
    <col min="13" max="13" width="15.6640625" bestFit="1" customWidth="1"/>
    <col min="14" max="14" width="16.33203125" customWidth="1"/>
    <col min="15" max="15" width="19" bestFit="1" customWidth="1"/>
    <col min="16" max="16" width="4" customWidth="1"/>
    <col min="17" max="18" width="24" customWidth="1"/>
    <col min="19" max="19" width="9.33203125" customWidth="1"/>
    <col min="20" max="20" width="24.83203125" bestFit="1" customWidth="1"/>
    <col min="21" max="21" width="9.1640625" customWidth="1"/>
    <col min="22" max="23" width="8" customWidth="1"/>
    <col min="24" max="24" width="17.33203125" bestFit="1" customWidth="1"/>
    <col min="25" max="28" width="7.33203125" customWidth="1"/>
  </cols>
  <sheetData>
    <row r="1" spans="1:31" ht="15.75" customHeight="1">
      <c r="A1" s="2"/>
      <c r="B1" s="6" t="s">
        <v>6</v>
      </c>
      <c r="C1" s="4">
        <v>0.09</v>
      </c>
      <c r="D1" s="4">
        <v>0.08</v>
      </c>
      <c r="E1" s="4">
        <v>0.05</v>
      </c>
      <c r="F1" s="4">
        <v>0.09</v>
      </c>
      <c r="G1" s="4">
        <v>8.5000000000000006E-2</v>
      </c>
      <c r="H1" s="4">
        <v>0.09</v>
      </c>
      <c r="I1" s="4">
        <v>0.09</v>
      </c>
      <c r="J1" s="4">
        <v>0.09</v>
      </c>
      <c r="K1" s="4">
        <v>0.05</v>
      </c>
      <c r="L1" s="4">
        <v>0.06</v>
      </c>
      <c r="M1" s="4">
        <v>0.125</v>
      </c>
      <c r="N1" s="4">
        <v>0.1</v>
      </c>
      <c r="O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5.75" customHeight="1">
      <c r="A2" s="8"/>
      <c r="B2" s="62" t="s">
        <v>118</v>
      </c>
      <c r="C2" s="9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2" t="s">
        <v>19</v>
      </c>
      <c r="O2" s="3" t="s">
        <v>20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6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31" ht="16">
      <c r="A5" s="79" t="s">
        <v>21</v>
      </c>
      <c r="B5" s="80"/>
      <c r="C5" s="63">
        <f>4673131.45+88267.32</f>
        <v>4761398.7700000005</v>
      </c>
      <c r="D5" s="14">
        <f>C50</f>
        <v>5183335.1252000006</v>
      </c>
      <c r="E5" s="14">
        <f t="shared" ref="E5:N5" si="0">D50</f>
        <v>5078053.4176000003</v>
      </c>
      <c r="F5" s="14">
        <f t="shared" si="0"/>
        <v>4611494.8441000003</v>
      </c>
      <c r="G5" s="14">
        <f t="shared" si="0"/>
        <v>4873072.1434000004</v>
      </c>
      <c r="H5" s="14">
        <f t="shared" si="0"/>
        <v>4873072.1434000004</v>
      </c>
      <c r="I5" s="14">
        <f t="shared" si="0"/>
        <v>4873072.1434000004</v>
      </c>
      <c r="J5" s="14">
        <f t="shared" si="0"/>
        <v>4873072.1434000004</v>
      </c>
      <c r="K5" s="14">
        <f t="shared" si="0"/>
        <v>4873072.1434000004</v>
      </c>
      <c r="L5" s="14">
        <f t="shared" si="0"/>
        <v>4873072.1434000004</v>
      </c>
      <c r="M5" s="14">
        <f t="shared" si="0"/>
        <v>4873072.1434000004</v>
      </c>
      <c r="N5" s="14">
        <f t="shared" si="0"/>
        <v>4873072.1434000004</v>
      </c>
      <c r="O5" s="14"/>
      <c r="Q5" s="5" t="s">
        <v>76</v>
      </c>
      <c r="R5" s="5"/>
      <c r="S5" s="5"/>
      <c r="T5" s="5"/>
      <c r="U5" s="5"/>
      <c r="V5" s="5"/>
      <c r="W5" s="5"/>
      <c r="X5" s="5"/>
      <c r="Y5" s="5"/>
      <c r="Z5" s="5"/>
    </row>
    <row r="6" spans="1:31" ht="16">
      <c r="A6" s="8"/>
      <c r="B6" s="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Q6" s="5"/>
      <c r="R6" s="5"/>
      <c r="S6" s="5"/>
      <c r="T6" s="5"/>
      <c r="U6" s="5"/>
      <c r="V6" s="5"/>
      <c r="W6" s="5"/>
      <c r="X6" s="5"/>
      <c r="Y6" s="8"/>
      <c r="Z6" s="8" t="s">
        <v>94</v>
      </c>
      <c r="AA6" s="65"/>
      <c r="AB6" s="69" t="s">
        <v>94</v>
      </c>
    </row>
    <row r="7" spans="1:31" ht="16">
      <c r="A7" s="15">
        <v>3100</v>
      </c>
      <c r="B7" s="16" t="s">
        <v>23</v>
      </c>
      <c r="C7" s="17">
        <f>C$1*$Q$7</f>
        <v>790676.58149999997</v>
      </c>
      <c r="D7" s="17">
        <f>D$1*$Q$7</f>
        <v>702823.62800000003</v>
      </c>
      <c r="E7" s="17">
        <f>E$1*$Q$7+504.94</f>
        <v>439769.70750000002</v>
      </c>
      <c r="F7" s="17">
        <f>F$1*$Q$7-F42</f>
        <v>762103.52149999992</v>
      </c>
      <c r="G7" s="17"/>
      <c r="H7" s="17"/>
      <c r="I7" s="17"/>
      <c r="J7" s="17"/>
      <c r="K7" s="17"/>
      <c r="L7" s="17"/>
      <c r="M7" s="17"/>
      <c r="N7" s="17"/>
      <c r="O7" s="42">
        <f>SUM(C7:N7)</f>
        <v>2695373.4384999997</v>
      </c>
      <c r="Q7" s="56">
        <v>8785295.3499999996</v>
      </c>
      <c r="R7" s="58">
        <f>O7-Q7</f>
        <v>-6089921.9114999995</v>
      </c>
      <c r="S7" s="5" t="s">
        <v>112</v>
      </c>
      <c r="T7" s="5"/>
      <c r="U7" s="5"/>
      <c r="V7" s="5"/>
      <c r="W7" s="5"/>
      <c r="X7" s="5"/>
      <c r="Y7" s="66" t="s">
        <v>92</v>
      </c>
      <c r="Z7" s="66">
        <f>-698.4+695.35</f>
        <v>-3.0499999999999545</v>
      </c>
      <c r="AA7" s="67" t="s">
        <v>93</v>
      </c>
      <c r="AB7" s="68">
        <f>-55.29+36</f>
        <v>-19.29</v>
      </c>
      <c r="AE7" s="74">
        <f>O7</f>
        <v>2695373.4384999997</v>
      </c>
    </row>
    <row r="8" spans="1:31" ht="16">
      <c r="A8" s="8">
        <v>3121</v>
      </c>
      <c r="B8" s="5" t="s">
        <v>29</v>
      </c>
      <c r="C8" s="59">
        <f>C$1*$Q$8</f>
        <v>5608.5362999999998</v>
      </c>
      <c r="D8" s="59">
        <f>D$1*$Q$8</f>
        <v>4985.3656000000001</v>
      </c>
      <c r="E8" s="59">
        <f>E$1*$Q$8</f>
        <v>3115.8535000000002</v>
      </c>
      <c r="F8" s="59">
        <f>F$1*$Q$8</f>
        <v>5608.5362999999998</v>
      </c>
      <c r="G8" s="59"/>
      <c r="H8" s="59"/>
      <c r="I8" s="59"/>
      <c r="J8" s="59"/>
      <c r="K8" s="59"/>
      <c r="L8" s="59"/>
      <c r="M8" s="59"/>
      <c r="N8" s="59"/>
      <c r="O8" s="14">
        <f t="shared" ref="O8:O22" si="1">SUM(C8:N8)</f>
        <v>19318.291700000002</v>
      </c>
      <c r="Q8" s="56">
        <v>62317.07</v>
      </c>
      <c r="R8" s="58">
        <f t="shared" ref="R8:R22" si="2">O8-Q8</f>
        <v>-42998.778299999998</v>
      </c>
      <c r="S8" s="5"/>
      <c r="T8" s="5"/>
      <c r="U8" s="5"/>
      <c r="V8" s="5"/>
      <c r="W8" s="5"/>
      <c r="X8" s="5"/>
      <c r="Y8" s="5"/>
      <c r="Z8" s="5"/>
      <c r="AE8" s="74">
        <f t="shared" ref="AE8:AE23" si="3">O8</f>
        <v>19318.291700000002</v>
      </c>
    </row>
    <row r="9" spans="1:31" ht="16">
      <c r="A9" s="43">
        <v>4121</v>
      </c>
      <c r="B9" s="44" t="s">
        <v>37</v>
      </c>
      <c r="C9" s="17">
        <f>C$1*$Q$9</f>
        <v>87169.831200000001</v>
      </c>
      <c r="D9" s="17">
        <f>D$1*$Q$9</f>
        <v>77484.294399999999</v>
      </c>
      <c r="E9" s="17">
        <v>44283</v>
      </c>
      <c r="F9" s="17">
        <v>87183.05</v>
      </c>
      <c r="G9" s="55"/>
      <c r="H9" s="55"/>
      <c r="I9" s="55"/>
      <c r="J9" s="55"/>
      <c r="K9" s="55"/>
      <c r="L9" s="55"/>
      <c r="M9" s="55"/>
      <c r="N9" s="55"/>
      <c r="O9" s="14">
        <f>SUM(C9:N9)</f>
        <v>296120.17560000002</v>
      </c>
      <c r="Q9" s="56">
        <v>968553.68</v>
      </c>
      <c r="R9" s="58">
        <f t="shared" si="2"/>
        <v>-672433.50439999998</v>
      </c>
      <c r="S9" s="5" t="s">
        <v>113</v>
      </c>
      <c r="T9" s="5"/>
      <c r="U9" s="5"/>
      <c r="V9" s="5"/>
      <c r="W9" s="5"/>
      <c r="X9" s="5"/>
      <c r="Y9" s="5"/>
      <c r="Z9" s="5"/>
      <c r="AE9" s="74">
        <f t="shared" si="3"/>
        <v>296120.17560000002</v>
      </c>
    </row>
    <row r="10" spans="1:31" ht="16">
      <c r="A10" s="47">
        <v>4155</v>
      </c>
      <c r="B10" s="48" t="s">
        <v>46</v>
      </c>
      <c r="C10" s="59"/>
      <c r="D10" s="42">
        <v>40043.35</v>
      </c>
      <c r="E10" s="59">
        <f>E$1*$Q$10</f>
        <v>11777.4565</v>
      </c>
      <c r="F10" s="59">
        <f>F$1*$Q$10</f>
        <v>21199.421699999999</v>
      </c>
      <c r="G10" s="42"/>
      <c r="H10" s="42"/>
      <c r="I10" s="42"/>
      <c r="J10" s="42"/>
      <c r="K10" s="42"/>
      <c r="L10" s="42"/>
      <c r="M10" s="42"/>
      <c r="N10" s="42"/>
      <c r="O10" s="42">
        <f t="shared" si="1"/>
        <v>73020.228199999998</v>
      </c>
      <c r="Q10" s="56">
        <v>235549.13</v>
      </c>
      <c r="R10" s="58">
        <f t="shared" si="2"/>
        <v>-162528.90179999999</v>
      </c>
      <c r="S10" s="5" t="s">
        <v>95</v>
      </c>
      <c r="T10" s="5"/>
      <c r="U10" s="5"/>
      <c r="V10" s="5"/>
      <c r="W10" s="5"/>
      <c r="X10" s="5"/>
      <c r="Y10" s="5"/>
      <c r="Z10" s="5"/>
      <c r="AE10" s="74">
        <f t="shared" si="3"/>
        <v>73020.228199999998</v>
      </c>
    </row>
    <row r="11" spans="1:31" ht="16">
      <c r="A11" s="43">
        <v>4158</v>
      </c>
      <c r="B11" s="44" t="s">
        <v>115</v>
      </c>
      <c r="C11" s="17">
        <f>$C1*$Q$11</f>
        <v>0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  <c r="O11" s="14">
        <f t="shared" si="1"/>
        <v>0</v>
      </c>
      <c r="Q11" s="56"/>
      <c r="R11" s="58">
        <f t="shared" si="2"/>
        <v>0</v>
      </c>
      <c r="S11" s="5" t="s">
        <v>88</v>
      </c>
      <c r="T11" s="5"/>
      <c r="U11" s="5"/>
      <c r="V11" s="5"/>
      <c r="W11" s="5"/>
      <c r="X11" s="5"/>
      <c r="Y11" s="5"/>
      <c r="Z11" s="5"/>
      <c r="AE11" s="74">
        <f t="shared" si="3"/>
        <v>0</v>
      </c>
    </row>
    <row r="12" spans="1:31" ht="16">
      <c r="A12" s="8">
        <v>4165</v>
      </c>
      <c r="B12" s="5" t="s">
        <v>74</v>
      </c>
      <c r="C12" s="59">
        <f>C$1*$Q$12</f>
        <v>0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4">
        <f>SUM(C12:N12)</f>
        <v>0</v>
      </c>
      <c r="Q12" s="56"/>
      <c r="R12" s="58">
        <f t="shared" si="2"/>
        <v>0</v>
      </c>
      <c r="S12" s="5" t="s">
        <v>114</v>
      </c>
      <c r="T12" s="5"/>
      <c r="U12" s="5"/>
      <c r="V12" s="5"/>
      <c r="W12" s="5"/>
      <c r="X12" s="5"/>
      <c r="Y12" s="5"/>
      <c r="Z12" s="5"/>
      <c r="AE12" s="74">
        <f t="shared" si="3"/>
        <v>0</v>
      </c>
    </row>
    <row r="13" spans="1:31" ht="16">
      <c r="A13" s="51">
        <v>4174</v>
      </c>
      <c r="B13" s="52" t="s">
        <v>53</v>
      </c>
      <c r="C13" s="17">
        <f>C$1*$Q$13</f>
        <v>2169.1997999999999</v>
      </c>
      <c r="D13" s="17">
        <f>D$1*$Q$13</f>
        <v>1928.1776000000002</v>
      </c>
      <c r="E13" s="17">
        <f>E$1*$Q$13</f>
        <v>1205.1110000000001</v>
      </c>
      <c r="F13" s="17">
        <f>F$1*$Q$13</f>
        <v>2169.1997999999999</v>
      </c>
      <c r="G13" s="17"/>
      <c r="H13" s="46"/>
      <c r="I13" s="46"/>
      <c r="J13" s="46"/>
      <c r="K13" s="46"/>
      <c r="L13" s="46"/>
      <c r="M13" s="46"/>
      <c r="N13" s="46"/>
      <c r="O13" s="42">
        <f t="shared" si="1"/>
        <v>7471.6882000000005</v>
      </c>
      <c r="Q13" s="56">
        <v>24102.22</v>
      </c>
      <c r="R13" s="58">
        <f t="shared" si="2"/>
        <v>-16630.531800000001</v>
      </c>
      <c r="S13" s="5" t="s">
        <v>95</v>
      </c>
      <c r="T13" s="5"/>
      <c r="U13" s="5"/>
      <c r="V13" s="5"/>
      <c r="W13" s="5"/>
      <c r="X13" s="5"/>
      <c r="Y13" s="5"/>
      <c r="Z13" s="5"/>
      <c r="AE13" s="74">
        <f t="shared" si="3"/>
        <v>7471.6882000000005</v>
      </c>
    </row>
    <row r="14" spans="1:31" ht="16">
      <c r="A14" s="47">
        <v>4198</v>
      </c>
      <c r="B14" s="48" t="s">
        <v>55</v>
      </c>
      <c r="C14" s="59"/>
      <c r="D14" s="42">
        <f>181.5+327.3+578.4</f>
        <v>1087.2</v>
      </c>
      <c r="E14" s="42">
        <f>220.15+375.9+625.2</f>
        <v>1221.25</v>
      </c>
      <c r="F14" s="42">
        <f>195.05+312.9+526.4</f>
        <v>1034.3499999999999</v>
      </c>
      <c r="G14" s="42"/>
      <c r="H14" s="42"/>
      <c r="I14" s="42"/>
      <c r="J14" s="42"/>
      <c r="K14" s="42"/>
      <c r="L14" s="42"/>
      <c r="M14" s="42"/>
      <c r="N14" s="42"/>
      <c r="O14" s="42">
        <f t="shared" si="1"/>
        <v>3342.7999999999997</v>
      </c>
      <c r="Q14" s="56"/>
      <c r="R14" s="58">
        <f t="shared" si="2"/>
        <v>3342.7999999999997</v>
      </c>
      <c r="S14" s="5"/>
      <c r="T14" s="5"/>
      <c r="U14" s="5"/>
      <c r="V14" s="5"/>
      <c r="W14" s="5"/>
      <c r="X14" s="5"/>
      <c r="Y14" s="5"/>
      <c r="Z14" s="5"/>
      <c r="AE14" s="74">
        <f t="shared" si="3"/>
        <v>3342.7999999999997</v>
      </c>
    </row>
    <row r="15" spans="1:31" ht="16">
      <c r="A15" s="43">
        <v>4199</v>
      </c>
      <c r="B15" s="44" t="s">
        <v>56</v>
      </c>
      <c r="C15" s="17">
        <f>C$1*$Q$15</f>
        <v>45598.2264</v>
      </c>
      <c r="D15" s="17">
        <f>D$1*$Q$15</f>
        <v>40531.756800000003</v>
      </c>
      <c r="E15" s="17">
        <f>E$1*$Q$15</f>
        <v>25332.348000000002</v>
      </c>
      <c r="F15" s="46">
        <v>45598.23</v>
      </c>
      <c r="G15" s="46"/>
      <c r="H15" s="46"/>
      <c r="I15" s="46"/>
      <c r="J15" s="46"/>
      <c r="K15" s="46"/>
      <c r="L15" s="46"/>
      <c r="M15" s="46"/>
      <c r="N15" s="46"/>
      <c r="O15" s="14">
        <f t="shared" si="1"/>
        <v>157060.5612</v>
      </c>
      <c r="Q15" s="56">
        <v>506646.96</v>
      </c>
      <c r="R15" s="58">
        <f t="shared" si="2"/>
        <v>-349586.39880000002</v>
      </c>
      <c r="S15" s="5" t="s">
        <v>96</v>
      </c>
      <c r="T15" s="5"/>
      <c r="U15" s="5"/>
      <c r="V15" s="5"/>
      <c r="W15" s="5"/>
      <c r="X15" s="5"/>
      <c r="Y15" s="5"/>
      <c r="Z15" s="5"/>
      <c r="AE15" s="74">
        <f t="shared" si="3"/>
        <v>157060.5612</v>
      </c>
    </row>
    <row r="16" spans="1:31" ht="16">
      <c r="A16" s="47">
        <v>6124</v>
      </c>
      <c r="B16" s="48" t="s">
        <v>57</v>
      </c>
      <c r="C16" s="59">
        <v>14597.27</v>
      </c>
      <c r="D16" s="42"/>
      <c r="E16" s="42"/>
      <c r="F16" s="42">
        <v>70285.990000000005</v>
      </c>
      <c r="G16" s="42"/>
      <c r="H16" s="42"/>
      <c r="I16" s="42"/>
      <c r="J16" s="42"/>
      <c r="K16" s="42"/>
      <c r="L16" s="42"/>
      <c r="M16" s="42"/>
      <c r="N16" s="42"/>
      <c r="O16" s="42">
        <f t="shared" si="1"/>
        <v>84883.260000000009</v>
      </c>
      <c r="Q16" s="56"/>
      <c r="R16" s="58">
        <f t="shared" si="2"/>
        <v>84883.260000000009</v>
      </c>
      <c r="S16" s="5" t="s">
        <v>97</v>
      </c>
      <c r="T16" s="5"/>
      <c r="U16" s="5"/>
      <c r="V16" s="5"/>
      <c r="W16" s="5"/>
      <c r="X16" s="5"/>
      <c r="Y16" s="5"/>
      <c r="Z16" s="5"/>
      <c r="AE16" s="74">
        <f t="shared" si="3"/>
        <v>84883.260000000009</v>
      </c>
    </row>
    <row r="17" spans="1:31" ht="16">
      <c r="A17" s="43">
        <v>6151</v>
      </c>
      <c r="B17" s="44" t="s">
        <v>58</v>
      </c>
      <c r="C17" s="17">
        <v>17893.150000000001</v>
      </c>
      <c r="D17" s="45"/>
      <c r="E17" s="45"/>
      <c r="F17" s="45">
        <v>97948.2</v>
      </c>
      <c r="G17" s="45"/>
      <c r="H17" s="45"/>
      <c r="I17" s="45"/>
      <c r="J17" s="45"/>
      <c r="K17" s="45"/>
      <c r="L17" s="45"/>
      <c r="M17" s="45"/>
      <c r="N17" s="46"/>
      <c r="O17" s="14">
        <f t="shared" si="1"/>
        <v>115841.35</v>
      </c>
      <c r="Q17" s="56">
        <v>232808</v>
      </c>
      <c r="R17" s="58">
        <f t="shared" si="2"/>
        <v>-116966.65</v>
      </c>
      <c r="S17" s="5" t="s">
        <v>97</v>
      </c>
      <c r="T17" s="5"/>
      <c r="U17" s="5"/>
      <c r="V17" s="5"/>
      <c r="W17" s="5"/>
      <c r="X17" s="5"/>
      <c r="Y17" s="5"/>
      <c r="Z17" s="5"/>
      <c r="AE17" s="74">
        <f t="shared" si="3"/>
        <v>115841.35</v>
      </c>
    </row>
    <row r="18" spans="1:31" ht="16">
      <c r="A18" s="47">
        <v>6152</v>
      </c>
      <c r="B18" s="48" t="s">
        <v>59</v>
      </c>
      <c r="C18" s="59">
        <v>1810.13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>
        <f t="shared" si="1"/>
        <v>1810.13</v>
      </c>
      <c r="Q18" s="57">
        <v>23761</v>
      </c>
      <c r="R18" s="58">
        <f t="shared" si="2"/>
        <v>-21950.87</v>
      </c>
      <c r="S18" s="5" t="s">
        <v>97</v>
      </c>
      <c r="T18" s="5"/>
      <c r="U18" s="5"/>
      <c r="V18" s="5"/>
      <c r="W18" s="5"/>
      <c r="X18" s="5"/>
      <c r="Y18" s="5"/>
      <c r="Z18" s="5"/>
      <c r="AE18" s="74">
        <f t="shared" si="3"/>
        <v>1810.13</v>
      </c>
    </row>
    <row r="19" spans="1:31" ht="16">
      <c r="A19" s="53">
        <v>6198</v>
      </c>
      <c r="B19" s="54" t="s">
        <v>60</v>
      </c>
      <c r="C19" s="17">
        <f>10278.43+147168.64</f>
        <v>157447.07</v>
      </c>
      <c r="D19" s="55">
        <f>22690.3+10976.06</f>
        <v>33666.36</v>
      </c>
      <c r="E19" s="17">
        <f>26541.15+13452.33</f>
        <v>39993.480000000003</v>
      </c>
      <c r="F19" s="17">
        <f>23896.35+11913.83</f>
        <v>35810.18</v>
      </c>
      <c r="G19" s="17"/>
      <c r="H19" s="17"/>
      <c r="I19" s="17"/>
      <c r="J19" s="17"/>
      <c r="K19" s="17"/>
      <c r="L19" s="17"/>
      <c r="M19" s="17"/>
      <c r="N19" s="46"/>
      <c r="O19" s="42">
        <f t="shared" si="1"/>
        <v>266917.09000000003</v>
      </c>
      <c r="Q19" s="57"/>
      <c r="R19" s="58">
        <f t="shared" si="2"/>
        <v>266917.09000000003</v>
      </c>
      <c r="S19" s="5" t="s">
        <v>89</v>
      </c>
      <c r="T19" s="5"/>
      <c r="U19" s="5"/>
      <c r="V19" s="5"/>
      <c r="W19" s="5"/>
      <c r="X19" s="5"/>
      <c r="Y19" s="5"/>
      <c r="Z19" s="5"/>
      <c r="AE19" s="74">
        <f t="shared" si="3"/>
        <v>266917.09000000003</v>
      </c>
    </row>
    <row r="20" spans="1:31" ht="16">
      <c r="A20" s="47">
        <v>1200</v>
      </c>
      <c r="B20" s="48" t="s">
        <v>84</v>
      </c>
      <c r="C20" s="5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>
        <f t="shared" si="1"/>
        <v>0</v>
      </c>
      <c r="Q20" s="57"/>
      <c r="R20" s="58">
        <f t="shared" si="2"/>
        <v>0</v>
      </c>
      <c r="S20" s="5" t="s">
        <v>98</v>
      </c>
      <c r="T20" s="5"/>
      <c r="U20" s="5"/>
      <c r="V20" s="5"/>
      <c r="W20" s="5"/>
      <c r="X20" s="5"/>
      <c r="Y20" s="5"/>
      <c r="Z20" s="5"/>
      <c r="AE20" s="74">
        <f t="shared" si="3"/>
        <v>0</v>
      </c>
    </row>
    <row r="21" spans="1:31" ht="16">
      <c r="A21" s="53">
        <v>1300</v>
      </c>
      <c r="B21" s="54" t="s">
        <v>85</v>
      </c>
      <c r="C21" s="17">
        <v>75296.13</v>
      </c>
      <c r="D21" s="55">
        <v>17258.53</v>
      </c>
      <c r="E21" s="55"/>
      <c r="F21" s="17">
        <v>40805.300000000003</v>
      </c>
      <c r="G21" s="17"/>
      <c r="H21" s="17"/>
      <c r="I21" s="17"/>
      <c r="J21" s="17"/>
      <c r="K21" s="17"/>
      <c r="L21" s="17"/>
      <c r="M21" s="17"/>
      <c r="N21" s="17"/>
      <c r="O21" s="42">
        <f t="shared" si="1"/>
        <v>133359.96000000002</v>
      </c>
      <c r="Q21" s="57"/>
      <c r="R21" s="58">
        <f t="shared" si="2"/>
        <v>133359.96000000002</v>
      </c>
      <c r="S21" s="5" t="s">
        <v>99</v>
      </c>
      <c r="T21" s="5"/>
      <c r="U21" s="5"/>
      <c r="V21" s="5"/>
      <c r="W21" s="5"/>
      <c r="X21" s="5"/>
      <c r="Y21" s="5"/>
      <c r="Z21" s="5"/>
      <c r="AE21" s="74">
        <f t="shared" si="3"/>
        <v>133359.96000000002</v>
      </c>
    </row>
    <row r="22" spans="1:31" ht="16">
      <c r="A22" s="47">
        <v>1400</v>
      </c>
      <c r="B22" s="48" t="s">
        <v>87</v>
      </c>
      <c r="C22" s="59">
        <v>14994.32</v>
      </c>
      <c r="D22" s="42">
        <v>799.88</v>
      </c>
      <c r="E22" s="42"/>
      <c r="F22" s="42">
        <v>1651.14</v>
      </c>
      <c r="G22" s="42"/>
      <c r="H22" s="42"/>
      <c r="I22" s="42"/>
      <c r="J22" s="42"/>
      <c r="K22" s="42"/>
      <c r="L22" s="42"/>
      <c r="M22" s="42"/>
      <c r="N22" s="42"/>
      <c r="O22" s="42">
        <f t="shared" si="1"/>
        <v>17445.34</v>
      </c>
      <c r="Q22" s="57"/>
      <c r="R22" s="58">
        <f t="shared" si="2"/>
        <v>17445.34</v>
      </c>
      <c r="S22" s="5" t="s">
        <v>97</v>
      </c>
      <c r="T22" s="5"/>
      <c r="U22" s="5"/>
      <c r="V22" s="5"/>
      <c r="W22" s="5"/>
      <c r="X22" s="5"/>
      <c r="Y22" s="5"/>
      <c r="Z22" s="5"/>
      <c r="AE22" s="74">
        <f t="shared" si="3"/>
        <v>17445.34</v>
      </c>
    </row>
    <row r="23" spans="1:31" ht="16">
      <c r="A23" s="53">
        <v>6119</v>
      </c>
      <c r="B23" s="54" t="s">
        <v>90</v>
      </c>
      <c r="C23" s="17">
        <v>4318.88</v>
      </c>
      <c r="D23" s="55"/>
      <c r="E23" s="55"/>
      <c r="F23" s="17">
        <v>30826.35</v>
      </c>
      <c r="G23" s="17"/>
      <c r="H23" s="17"/>
      <c r="I23" s="17"/>
      <c r="J23" s="17"/>
      <c r="K23" s="17"/>
      <c r="L23" s="17"/>
      <c r="M23" s="17"/>
      <c r="N23" s="17"/>
      <c r="O23" s="42">
        <f t="shared" ref="O23" si="4">SUM(C23:N23)</f>
        <v>35145.229999999996</v>
      </c>
      <c r="Q23" s="57"/>
      <c r="R23" s="58"/>
      <c r="S23" s="5"/>
      <c r="T23" s="5"/>
      <c r="U23" s="5"/>
      <c r="V23" s="5"/>
      <c r="W23" s="5"/>
      <c r="X23" s="5"/>
      <c r="Y23" s="5"/>
      <c r="Z23" s="5"/>
      <c r="AE23" s="74">
        <f t="shared" si="3"/>
        <v>35145.229999999996</v>
      </c>
    </row>
    <row r="24" spans="1:31" ht="16">
      <c r="A24" s="8"/>
      <c r="B24" s="5"/>
      <c r="C24" s="59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Q24" s="57"/>
      <c r="R24" s="5"/>
      <c r="S24" s="5"/>
      <c r="T24" s="5"/>
      <c r="U24" s="5"/>
      <c r="V24" s="5"/>
      <c r="W24" s="5"/>
      <c r="X24" s="5"/>
      <c r="Y24" s="5"/>
      <c r="Z24" s="5"/>
    </row>
    <row r="25" spans="1:31" ht="16">
      <c r="A25" s="8"/>
      <c r="B25" s="5" t="s">
        <v>61</v>
      </c>
      <c r="C25" s="39">
        <f>SUM(C7:C23)</f>
        <v>1217579.3252000001</v>
      </c>
      <c r="D25" s="39">
        <f>SUM(D7:D23)</f>
        <v>920608.54240000003</v>
      </c>
      <c r="E25" s="39">
        <f>SUM(E7:E23)</f>
        <v>566698.20650000009</v>
      </c>
      <c r="F25" s="39">
        <f>SUM(F7:F23)</f>
        <v>1202223.4692999998</v>
      </c>
      <c r="G25" s="39">
        <f t="shared" ref="G25:N25" si="5">SUM(G7:G23)</f>
        <v>0</v>
      </c>
      <c r="H25" s="39">
        <f t="shared" si="5"/>
        <v>0</v>
      </c>
      <c r="I25" s="39">
        <f t="shared" si="5"/>
        <v>0</v>
      </c>
      <c r="J25" s="39">
        <f t="shared" si="5"/>
        <v>0</v>
      </c>
      <c r="K25" s="14">
        <f t="shared" si="5"/>
        <v>0</v>
      </c>
      <c r="L25" s="14">
        <f t="shared" si="5"/>
        <v>0</v>
      </c>
      <c r="M25" s="14">
        <f t="shared" si="5"/>
        <v>0</v>
      </c>
      <c r="N25" s="14">
        <f t="shared" si="5"/>
        <v>0</v>
      </c>
      <c r="O25" s="14">
        <f>SUM(C25:N25)</f>
        <v>3907109.5433999998</v>
      </c>
      <c r="Q25" s="57">
        <f>SUM(Q7:Q24)</f>
        <v>10839033.410000002</v>
      </c>
      <c r="R25" s="5"/>
      <c r="S25" s="14"/>
      <c r="T25" s="5"/>
      <c r="U25" s="5"/>
      <c r="V25" s="5"/>
      <c r="W25" s="5"/>
      <c r="X25" s="5"/>
      <c r="Y25" s="5"/>
      <c r="Z25" s="5"/>
    </row>
    <row r="26" spans="1:31" ht="16">
      <c r="A26" s="8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Q26" s="57"/>
      <c r="R26" s="5"/>
      <c r="S26" s="5"/>
      <c r="T26" s="5"/>
      <c r="U26" s="5"/>
      <c r="V26" s="5"/>
      <c r="W26" s="5"/>
      <c r="X26" s="5"/>
      <c r="Y26" s="5"/>
      <c r="Z26" s="5"/>
    </row>
    <row r="27" spans="1:31" ht="16">
      <c r="A27" s="8"/>
      <c r="B27" s="5" t="s">
        <v>78</v>
      </c>
      <c r="C27" s="14"/>
      <c r="D27" s="14"/>
      <c r="E27" s="14">
        <f>40000</f>
        <v>40000</v>
      </c>
      <c r="F27" s="14">
        <v>4224</v>
      </c>
      <c r="G27" s="14"/>
      <c r="H27" s="14"/>
      <c r="I27" s="42"/>
      <c r="J27" s="42"/>
      <c r="K27" s="42"/>
      <c r="L27" s="42"/>
      <c r="M27" s="42"/>
      <c r="N27" s="14"/>
      <c r="O27" s="14">
        <f t="shared" ref="O27:O30" si="6">SUM(C27:N27)</f>
        <v>44224</v>
      </c>
      <c r="Q27" s="57">
        <f>O27</f>
        <v>44224</v>
      </c>
      <c r="R27" s="5"/>
      <c r="S27" s="5"/>
      <c r="T27" s="5"/>
      <c r="U27" s="5"/>
      <c r="V27" s="5"/>
      <c r="W27" s="5"/>
      <c r="X27" s="5"/>
      <c r="Y27" s="5"/>
      <c r="Z27" s="5"/>
      <c r="AE27" s="74">
        <f>O27</f>
        <v>44224</v>
      </c>
    </row>
    <row r="28" spans="1:31" ht="16">
      <c r="A28" s="8"/>
      <c r="B28" s="5" t="s">
        <v>80</v>
      </c>
      <c r="C28" s="14">
        <v>139949.22</v>
      </c>
      <c r="D28" s="14">
        <v>39961.910000000003</v>
      </c>
      <c r="E28" s="14"/>
      <c r="F28" s="14"/>
      <c r="G28" s="14"/>
      <c r="H28" s="14"/>
      <c r="I28" s="42"/>
      <c r="J28" s="42"/>
      <c r="K28" s="42"/>
      <c r="L28" s="42"/>
      <c r="M28" s="42"/>
      <c r="N28" s="14"/>
      <c r="O28" s="14">
        <f t="shared" si="6"/>
        <v>179911.13</v>
      </c>
      <c r="Q28" s="57"/>
      <c r="R28" s="5"/>
      <c r="S28" s="5"/>
      <c r="T28" s="5"/>
      <c r="U28" s="5"/>
      <c r="V28" s="5"/>
      <c r="W28" s="5"/>
      <c r="X28" s="5"/>
      <c r="Y28" s="5"/>
      <c r="Z28" s="5"/>
      <c r="AE28">
        <f>550000</f>
        <v>550000</v>
      </c>
    </row>
    <row r="29" spans="1:31" ht="16">
      <c r="A29" s="8"/>
      <c r="B29" s="5" t="s">
        <v>81</v>
      </c>
      <c r="C29" s="14"/>
      <c r="D29" s="14"/>
      <c r="E29" s="14"/>
      <c r="F29" s="14"/>
      <c r="G29" s="14"/>
      <c r="H29" s="14"/>
      <c r="I29" s="42"/>
      <c r="J29" s="42"/>
      <c r="K29" s="42"/>
      <c r="L29" s="42"/>
      <c r="M29" s="42"/>
      <c r="N29" s="14"/>
      <c r="O29" s="14">
        <f t="shared" si="6"/>
        <v>0</v>
      </c>
      <c r="Q29" s="57"/>
      <c r="R29" s="5"/>
      <c r="S29" s="5"/>
      <c r="T29" s="5"/>
      <c r="U29" s="5"/>
      <c r="V29" s="5"/>
      <c r="W29" s="5"/>
      <c r="X29" s="5"/>
      <c r="Y29" s="5"/>
      <c r="Z29" s="5"/>
      <c r="AE29" s="74">
        <f>O29</f>
        <v>0</v>
      </c>
    </row>
    <row r="30" spans="1:31" ht="16">
      <c r="A30" s="8"/>
      <c r="B30" s="5" t="s">
        <v>79</v>
      </c>
      <c r="C30" s="14">
        <v>3535</v>
      </c>
      <c r="D30" s="39">
        <f>2502+1950</f>
        <v>4452</v>
      </c>
      <c r="E30" s="14"/>
      <c r="F30" s="14">
        <f>1000+61571.45+1.2+8.6+120+8850.97</f>
        <v>71552.219999999987</v>
      </c>
      <c r="G30" s="14"/>
      <c r="H30" s="14"/>
      <c r="I30" s="42"/>
      <c r="J30" s="42"/>
      <c r="K30" s="42"/>
      <c r="L30" s="42"/>
      <c r="M30" s="42"/>
      <c r="N30" s="14"/>
      <c r="O30" s="14">
        <f t="shared" si="6"/>
        <v>79539.219999999987</v>
      </c>
      <c r="Q30" s="57">
        <v>3535</v>
      </c>
      <c r="R30" s="5"/>
      <c r="S30" s="5" t="s">
        <v>109</v>
      </c>
      <c r="T30" s="5"/>
      <c r="U30" s="5"/>
      <c r="V30" s="5"/>
      <c r="W30" s="5"/>
      <c r="X30" s="5"/>
      <c r="Y30" s="5"/>
      <c r="Z30" s="5"/>
      <c r="AE30" s="74">
        <f>O30</f>
        <v>79539.219999999987</v>
      </c>
    </row>
    <row r="31" spans="1:31" ht="16">
      <c r="A31" s="8"/>
      <c r="B31" s="5" t="s">
        <v>91</v>
      </c>
      <c r="C31" s="14"/>
      <c r="D31" s="39"/>
      <c r="E31" s="14"/>
      <c r="F31" s="14"/>
      <c r="G31" s="14"/>
      <c r="H31" s="14"/>
      <c r="I31" s="42"/>
      <c r="J31" s="42"/>
      <c r="K31" s="42"/>
      <c r="L31" s="42"/>
      <c r="M31" s="42"/>
      <c r="N31" s="14"/>
      <c r="O31" s="14"/>
      <c r="Q31" s="57"/>
      <c r="R31" s="5"/>
      <c r="S31" s="5"/>
      <c r="T31" s="5"/>
      <c r="U31" s="5"/>
      <c r="V31" s="5"/>
      <c r="W31" s="5"/>
      <c r="X31" s="5"/>
      <c r="Y31" s="5"/>
      <c r="Z31" s="5"/>
    </row>
    <row r="32" spans="1:31" ht="16">
      <c r="A32" s="8"/>
      <c r="B32" s="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Q32" s="57"/>
      <c r="R32" s="5"/>
      <c r="S32" s="5"/>
      <c r="T32" s="5"/>
      <c r="U32" s="5"/>
      <c r="V32" s="5"/>
      <c r="W32" s="5"/>
      <c r="X32" s="5"/>
      <c r="Y32" s="5"/>
      <c r="Z32" s="5"/>
    </row>
    <row r="33" spans="1:31" ht="16">
      <c r="A33" s="8"/>
      <c r="B33" s="5" t="s">
        <v>62</v>
      </c>
      <c r="C33" s="50">
        <f>104.7+20+3.6+20+60.1+33+20+262.5+129.26+15895.2</f>
        <v>16548.36</v>
      </c>
      <c r="D33" s="50">
        <f>17933.48+34.5</f>
        <v>17967.98</v>
      </c>
      <c r="E33" s="50">
        <f>325+28861.01+551129.55-550824.55-13335.62</f>
        <v>16155.390000000009</v>
      </c>
      <c r="F33" s="50"/>
      <c r="G33" s="50"/>
      <c r="H33" s="50"/>
      <c r="I33" s="50"/>
      <c r="J33" s="50"/>
      <c r="K33" s="50"/>
      <c r="L33" s="50"/>
      <c r="M33" s="50"/>
      <c r="N33" s="50"/>
      <c r="O33" s="14">
        <f>SUM(C33:N33)</f>
        <v>50671.73</v>
      </c>
      <c r="Q33" s="57">
        <v>115389</v>
      </c>
      <c r="R33" s="5"/>
      <c r="S33" s="5"/>
      <c r="T33" s="5"/>
      <c r="U33" s="5"/>
      <c r="V33" s="5"/>
      <c r="W33" s="5"/>
      <c r="X33" s="5"/>
      <c r="Y33" s="5"/>
      <c r="Z33" s="5"/>
      <c r="AE33" s="74">
        <f>O33</f>
        <v>50671.73</v>
      </c>
    </row>
    <row r="34" spans="1:31" ht="15.75" customHeight="1">
      <c r="A34" s="8"/>
      <c r="B34" s="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Q34" s="5"/>
      <c r="R34" s="14">
        <f>F7-F42</f>
        <v>733530.46149999986</v>
      </c>
      <c r="S34" s="5"/>
      <c r="T34" s="78"/>
      <c r="U34" s="5"/>
      <c r="V34" s="5"/>
      <c r="W34" s="5"/>
      <c r="X34" s="5"/>
      <c r="Y34" s="5"/>
      <c r="Z34" s="5"/>
      <c r="AE34" s="74"/>
    </row>
    <row r="35" spans="1:31" ht="15.75" customHeight="1">
      <c r="A35" s="30" t="s">
        <v>63</v>
      </c>
      <c r="B35" s="31"/>
      <c r="C35" s="32">
        <f>SUM(C25:C33)</f>
        <v>1377611.9052000002</v>
      </c>
      <c r="D35" s="32">
        <f t="shared" ref="D35:N35" si="7">SUM(D25:D33)</f>
        <v>982990.43240000005</v>
      </c>
      <c r="E35" s="32">
        <f t="shared" si="7"/>
        <v>622853.5965000001</v>
      </c>
      <c r="F35" s="32">
        <f t="shared" si="7"/>
        <v>1277999.6892999997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3">
        <f>SUM(C35:N35)</f>
        <v>4261455.6233999999</v>
      </c>
      <c r="Q35" s="5"/>
      <c r="R35" s="5"/>
      <c r="S35" s="5"/>
      <c r="T35" s="14"/>
      <c r="U35" s="5"/>
      <c r="V35" s="5"/>
      <c r="W35" s="5"/>
      <c r="X35" s="14">
        <f>C37-O35</f>
        <v>9414337.376600001</v>
      </c>
      <c r="Y35" s="5" t="s">
        <v>86</v>
      </c>
      <c r="Z35" s="5"/>
      <c r="AE35" s="74">
        <f>SUM(AE7:AE34)</f>
        <v>4631544.4933999991</v>
      </c>
    </row>
    <row r="36" spans="1:31" ht="16">
      <c r="A36" s="2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5"/>
      <c r="Q36" s="5"/>
      <c r="R36" s="5"/>
      <c r="S36" s="5"/>
      <c r="T36" s="77"/>
      <c r="U36" s="5"/>
      <c r="V36" s="5"/>
      <c r="W36" s="5"/>
      <c r="X36" s="5"/>
      <c r="Y36" s="5"/>
      <c r="Z36" s="5"/>
    </row>
    <row r="37" spans="1:31" ht="16">
      <c r="A37" s="8"/>
      <c r="B37" s="36" t="s">
        <v>64</v>
      </c>
      <c r="C37" s="14">
        <f>ENTRY!B16</f>
        <v>13675793</v>
      </c>
      <c r="D37" s="14"/>
      <c r="E37" s="14"/>
      <c r="F37" s="14"/>
      <c r="G37" s="14"/>
      <c r="H37" s="14"/>
      <c r="I37" s="14"/>
      <c r="J37" s="14"/>
      <c r="K37" s="14"/>
      <c r="L37" s="14"/>
      <c r="M37" s="5"/>
      <c r="N37" s="37" t="s">
        <v>65</v>
      </c>
      <c r="O37" s="38">
        <f>O35-C37</f>
        <v>-9414337.376600001</v>
      </c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31" ht="16">
      <c r="A38" s="8"/>
      <c r="B38" s="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/>
      <c r="N38" s="36"/>
      <c r="O38" s="38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31" ht="16">
      <c r="A39" s="8"/>
      <c r="B39" s="5" t="s">
        <v>66</v>
      </c>
      <c r="C39" s="14">
        <f>3287.91+519527.48+261.51+156.25</f>
        <v>523233.14999999997</v>
      </c>
      <c r="D39" s="14">
        <f>5706.6+597156.77+155+771.25</f>
        <v>603789.62</v>
      </c>
      <c r="E39" s="14">
        <f>3538.43+607757.71+158.75</f>
        <v>611454.89</v>
      </c>
      <c r="F39" s="14">
        <f>529190+2166.8+215.5+60.8</f>
        <v>531633.10000000009</v>
      </c>
      <c r="G39" s="14"/>
      <c r="H39" s="14"/>
      <c r="I39" s="14"/>
      <c r="J39" s="14"/>
      <c r="K39" s="14"/>
      <c r="L39" s="14"/>
      <c r="M39" s="14"/>
      <c r="N39" s="14"/>
      <c r="O39" s="14">
        <f>SUM(C39:N39)</f>
        <v>2270110.7600000002</v>
      </c>
      <c r="Q39" s="14"/>
      <c r="R39" s="5"/>
      <c r="S39" s="5"/>
      <c r="T39" s="5"/>
      <c r="U39" s="5"/>
      <c r="V39" s="5"/>
      <c r="W39" s="5"/>
      <c r="X39" s="57"/>
      <c r="Y39" s="5"/>
      <c r="Z39" s="5"/>
    </row>
    <row r="40" spans="1:31" ht="16">
      <c r="A40" s="8"/>
      <c r="B40" s="5" t="s">
        <v>67</v>
      </c>
      <c r="C40" s="14">
        <f>296037.89+108467.84</f>
        <v>404505.73</v>
      </c>
      <c r="D40" s="14">
        <f>350507.92+130.6+107810</f>
        <v>458448.51999999996</v>
      </c>
      <c r="E40" s="14">
        <f>352534.35+109549.34</f>
        <v>462083.68999999994</v>
      </c>
      <c r="F40" s="14">
        <f>486958.09-2168.8</f>
        <v>484789.29000000004</v>
      </c>
      <c r="G40" s="14"/>
      <c r="H40" s="14"/>
      <c r="I40" s="14"/>
      <c r="J40" s="14"/>
      <c r="K40" s="14"/>
      <c r="L40" s="14"/>
      <c r="M40" s="14"/>
      <c r="N40" s="14"/>
      <c r="O40" s="14">
        <f>SUM(C40:N40)</f>
        <v>1809827.23</v>
      </c>
      <c r="Q40" s="14"/>
      <c r="R40" s="5"/>
      <c r="S40" s="5"/>
      <c r="T40" s="5"/>
      <c r="U40" s="76"/>
      <c r="V40" s="5"/>
      <c r="W40" s="5"/>
      <c r="X40" s="57"/>
      <c r="Y40" s="5"/>
      <c r="Z40" s="5"/>
    </row>
    <row r="41" spans="1:31" ht="16">
      <c r="A41" s="8"/>
      <c r="B41" s="5" t="s">
        <v>100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>
        <f>SUM(C41:N41)</f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31" ht="16">
      <c r="A42" s="49">
        <v>3.613696721078364E-2</v>
      </c>
      <c r="B42" s="5" t="s">
        <v>75</v>
      </c>
      <c r="C42" s="60">
        <v>27936.67</v>
      </c>
      <c r="D42" s="60">
        <v>26034</v>
      </c>
      <c r="E42" s="60">
        <f>69844.26-D42-C42</f>
        <v>15873.589999999997</v>
      </c>
      <c r="F42" s="60">
        <f>98417.32-C42-D42-E42</f>
        <v>28573.060000000012</v>
      </c>
      <c r="G42" s="60"/>
      <c r="H42" s="60"/>
      <c r="I42" s="60"/>
      <c r="J42" s="60"/>
      <c r="K42" s="60"/>
      <c r="L42" s="60"/>
      <c r="M42" s="60"/>
      <c r="N42" s="60"/>
      <c r="O42" s="14">
        <f>SUM(C42:N42)</f>
        <v>98417.32</v>
      </c>
      <c r="Q42" s="14"/>
      <c r="R42" s="5"/>
      <c r="S42" s="5"/>
      <c r="T42" s="5"/>
      <c r="U42" s="5"/>
      <c r="V42" s="5"/>
      <c r="W42" s="5"/>
      <c r="X42" s="5"/>
      <c r="Y42" s="5"/>
      <c r="Z42" s="5"/>
    </row>
    <row r="43" spans="1:31" ht="15.75" customHeight="1">
      <c r="A43" s="8"/>
      <c r="B43" s="5"/>
      <c r="C43" s="14"/>
      <c r="D43" s="14"/>
      <c r="E43" s="14"/>
      <c r="F43" s="14"/>
      <c r="G43" s="14"/>
      <c r="H43" s="14"/>
      <c r="I43" s="14"/>
      <c r="J43" s="14"/>
      <c r="K43" s="14"/>
      <c r="L43" s="14" t="s">
        <v>30</v>
      </c>
      <c r="M43" s="14"/>
      <c r="N43" s="14"/>
      <c r="O43" s="14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31" ht="15.75" customHeight="1">
      <c r="A44" s="30" t="s">
        <v>68</v>
      </c>
      <c r="B44" s="31"/>
      <c r="C44" s="32">
        <f>SUM(C39:C42)</f>
        <v>955675.54999999993</v>
      </c>
      <c r="D44" s="32">
        <f t="shared" ref="D44:L44" si="8">SUM(D39:D42)</f>
        <v>1088272.1399999999</v>
      </c>
      <c r="E44" s="32">
        <f>SUM(E39:E42)</f>
        <v>1089412.1700000002</v>
      </c>
      <c r="F44" s="32">
        <f>SUM(F39:F40)</f>
        <v>1016422.3900000001</v>
      </c>
      <c r="G44" s="32">
        <f t="shared" si="8"/>
        <v>0</v>
      </c>
      <c r="H44" s="32">
        <f t="shared" si="8"/>
        <v>0</v>
      </c>
      <c r="I44" s="32">
        <f t="shared" si="8"/>
        <v>0</v>
      </c>
      <c r="J44" s="32">
        <f>SUM(J39:J42)</f>
        <v>0</v>
      </c>
      <c r="K44" s="32">
        <f t="shared" si="8"/>
        <v>0</v>
      </c>
      <c r="L44" s="32">
        <f t="shared" si="8"/>
        <v>0</v>
      </c>
      <c r="M44" s="32">
        <f>SUM(M39:M42)</f>
        <v>0</v>
      </c>
      <c r="N44" s="32">
        <f>SUM(N39:N42)</f>
        <v>0</v>
      </c>
      <c r="O44" s="33">
        <f>SUM(C44:N44)</f>
        <v>4149782.2500000005</v>
      </c>
      <c r="Q44" s="64">
        <f>O44/365</f>
        <v>11369.266438356166</v>
      </c>
      <c r="R44" s="58">
        <f>((N52-60)*Q44)</f>
        <v>4190916.1570986309</v>
      </c>
      <c r="S44" s="5"/>
      <c r="T44" s="64"/>
      <c r="U44" s="5"/>
      <c r="V44" s="5"/>
      <c r="W44" s="5"/>
      <c r="X44" s="57"/>
      <c r="Y44" s="5"/>
      <c r="Z44" s="5"/>
    </row>
    <row r="45" spans="1:31" ht="16">
      <c r="A45" s="2"/>
      <c r="B45" s="34" t="s">
        <v>69</v>
      </c>
      <c r="C45" s="35">
        <f>($C$46-(SUM($C$44:C44)))</f>
        <v>12244328.449999999</v>
      </c>
      <c r="D45" s="35">
        <f>($C$46-(SUM($C$44:D44)))</f>
        <v>11156056.310000001</v>
      </c>
      <c r="E45" s="35">
        <f>($C$46-(SUM($C$44:E44)))</f>
        <v>10066644.140000001</v>
      </c>
      <c r="F45" s="35">
        <f>($C$46-(SUM($C$44:F44)))</f>
        <v>9050221.75</v>
      </c>
      <c r="G45" s="35">
        <f>($C$46-(SUM($C$44:G44)))</f>
        <v>9050221.75</v>
      </c>
      <c r="H45" s="35">
        <f>($C$46-(SUM($C$44:H44)))</f>
        <v>9050221.75</v>
      </c>
      <c r="I45" s="35">
        <f>($C$46-(SUM($C$44:I44)))</f>
        <v>9050221.75</v>
      </c>
      <c r="J45" s="35">
        <f>($C$46-(SUM($C$44:J44)))</f>
        <v>9050221.75</v>
      </c>
      <c r="K45" s="35">
        <f>($C$46-(SUM($C$44:K44)))</f>
        <v>9050221.75</v>
      </c>
      <c r="L45" s="35">
        <f>($C$46-(SUM($C$44:L44)))</f>
        <v>9050221.75</v>
      </c>
      <c r="M45" s="35">
        <f>($C$46-(SUM($C$44:M44)))-C47</f>
        <v>9050221.75</v>
      </c>
      <c r="N45" s="35">
        <f>($C$46-(SUM($C$44:N44)))</f>
        <v>9050221.75</v>
      </c>
      <c r="O45" s="5"/>
      <c r="Q45" s="5"/>
      <c r="R45" s="5"/>
      <c r="S45" s="5"/>
      <c r="T45" s="58"/>
      <c r="U45" s="5"/>
      <c r="V45" s="5"/>
      <c r="W45" s="5"/>
      <c r="X45" s="5"/>
      <c r="Y45" s="5"/>
      <c r="Z45" s="5"/>
    </row>
    <row r="46" spans="1:31" ht="16">
      <c r="A46" s="8"/>
      <c r="B46" s="34" t="s">
        <v>70</v>
      </c>
      <c r="C46" s="14">
        <f>ENTRY!B18</f>
        <v>13200004</v>
      </c>
      <c r="D46" s="14"/>
      <c r="E46" s="14"/>
      <c r="F46" s="14"/>
      <c r="G46" s="14"/>
      <c r="H46" s="14"/>
      <c r="I46" s="14"/>
      <c r="J46" s="14"/>
      <c r="K46" s="14"/>
      <c r="L46" s="14"/>
      <c r="M46" s="5"/>
      <c r="N46" s="37" t="s">
        <v>71</v>
      </c>
      <c r="O46" s="38">
        <f>C46-O44</f>
        <v>9050221.75</v>
      </c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31" ht="16">
      <c r="A47" s="8"/>
      <c r="B47" s="40"/>
      <c r="C47" s="41"/>
      <c r="D47" s="14"/>
      <c r="E47" s="14"/>
      <c r="F47" s="14"/>
      <c r="G47" s="14"/>
      <c r="H47" s="14"/>
      <c r="I47" s="14"/>
      <c r="J47" s="14"/>
      <c r="K47" s="14"/>
      <c r="L47" s="14"/>
      <c r="M47" s="36"/>
      <c r="N47" s="36"/>
      <c r="O47" s="38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31" ht="16">
      <c r="A48" s="8"/>
      <c r="B48" s="5" t="s">
        <v>72</v>
      </c>
      <c r="C48" s="14">
        <f>C35-C44</f>
        <v>421936.35520000022</v>
      </c>
      <c r="D48" s="14">
        <f t="shared" ref="D48:N48" si="9">D35-D44</f>
        <v>-105281.70759999985</v>
      </c>
      <c r="E48" s="14">
        <f t="shared" si="9"/>
        <v>-466558.57350000006</v>
      </c>
      <c r="F48" s="14">
        <f>F35-F44</f>
        <v>261577.29929999961</v>
      </c>
      <c r="G48" s="14">
        <f t="shared" si="9"/>
        <v>0</v>
      </c>
      <c r="H48" s="14">
        <f t="shared" si="9"/>
        <v>0</v>
      </c>
      <c r="I48" s="14">
        <f t="shared" si="9"/>
        <v>0</v>
      </c>
      <c r="J48" s="14">
        <f t="shared" si="9"/>
        <v>0</v>
      </c>
      <c r="K48" s="14">
        <f t="shared" si="9"/>
        <v>0</v>
      </c>
      <c r="L48" s="14">
        <f t="shared" si="9"/>
        <v>0</v>
      </c>
      <c r="M48" s="14">
        <f t="shared" si="9"/>
        <v>0</v>
      </c>
      <c r="N48" s="14">
        <f t="shared" si="9"/>
        <v>0</v>
      </c>
      <c r="O48" s="14">
        <f>O35-O44</f>
        <v>111673.37339999946</v>
      </c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6">
      <c r="A49" s="8"/>
      <c r="B49" s="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6">
      <c r="A50" s="8"/>
      <c r="B50" s="5" t="s">
        <v>82</v>
      </c>
      <c r="C50" s="14">
        <f>C5+C35-C44</f>
        <v>5183335.1252000006</v>
      </c>
      <c r="D50" s="14">
        <f>C50+D48</f>
        <v>5078053.4176000003</v>
      </c>
      <c r="E50" s="14">
        <f t="shared" ref="E50:N50" si="10">D50+E48</f>
        <v>4611494.8441000003</v>
      </c>
      <c r="F50" s="14">
        <f>E50+F48</f>
        <v>4873072.1434000004</v>
      </c>
      <c r="G50" s="14">
        <f t="shared" si="10"/>
        <v>4873072.1434000004</v>
      </c>
      <c r="H50" s="14">
        <f t="shared" si="10"/>
        <v>4873072.1434000004</v>
      </c>
      <c r="I50" s="14">
        <f t="shared" si="10"/>
        <v>4873072.1434000004</v>
      </c>
      <c r="J50" s="14">
        <f t="shared" si="10"/>
        <v>4873072.1434000004</v>
      </c>
      <c r="K50" s="14">
        <f t="shared" si="10"/>
        <v>4873072.1434000004</v>
      </c>
      <c r="L50" s="14">
        <f t="shared" si="10"/>
        <v>4873072.1434000004</v>
      </c>
      <c r="M50" s="14">
        <f t="shared" si="10"/>
        <v>4873072.1434000004</v>
      </c>
      <c r="N50" s="14">
        <f t="shared" si="10"/>
        <v>4873072.1434000004</v>
      </c>
      <c r="O50" s="14">
        <f>C5+O48</f>
        <v>4873072.1434000004</v>
      </c>
      <c r="Q50" s="14"/>
      <c r="R50" s="14"/>
      <c r="S50" s="5"/>
      <c r="T50" s="5"/>
      <c r="U50" s="5"/>
      <c r="V50" s="5"/>
      <c r="W50" s="5"/>
      <c r="X50" s="5"/>
      <c r="Y50" s="5"/>
      <c r="Z50" s="5"/>
    </row>
    <row r="51" spans="1:26" ht="16">
      <c r="A51" s="8"/>
      <c r="B51" s="5" t="s">
        <v>73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6">
      <c r="A52" s="5"/>
      <c r="B52" s="72" t="s">
        <v>77</v>
      </c>
      <c r="C52" s="61">
        <f>C50/(('22-23 Exp'!N8-'22-23 Exp'!B8+'Cash Flow'!C44)/365)</f>
        <v>153.11655621203289</v>
      </c>
      <c r="D52" s="61">
        <f>D50/(('22-23 Exp'!N8-'22-23 Exp'!B8-'22-23 Exp'!C8+'Cash Flow'!C44+'Cash Flow'!D44)/365)</f>
        <v>153.03458953287947</v>
      </c>
      <c r="E52" s="61">
        <f>E50/(('22-23 Exp'!N8-'22-23 Exp'!B8-'22-23 Exp'!C8-'22-23 Exp'!D8+'Cash Flow'!C44+'Cash Flow'!D44+'Cash Flow'!E44)/365)</f>
        <v>137.88307446402541</v>
      </c>
      <c r="F52" s="61">
        <f>F50/(('22-23 Exp'!N8-'22-23 Exp'!B8-'22-23 Exp'!C8-'22-23 Exp'!D8-'22-23 Exp'!E8+'Cash Flow'!C44+'Cash Flow'!D44+'Cash Flow'!E44+'Cash Flow'!F44)/365)</f>
        <v>145.74111313696341</v>
      </c>
      <c r="G52" s="61">
        <f>G50/(('22-23 Exp'!N8-'22-23 Exp'!B8-'22-23 Exp'!C8-'22-23 Exp'!D8-'22-23 Exp'!E8-'22-23 Exp'!F8+'Cash Flow'!C44+'Cash Flow'!D44+'Cash Flow'!E44+'Cash Flow'!F44+'Cash Flow'!G44)/365)</f>
        <v>157.69975575715935</v>
      </c>
      <c r="H52" s="61">
        <f>H50/(('22-23 Exp'!N8-'22-23 Exp'!B8-'22-23 Exp'!C8-'22-23 Exp'!D8-'22-23 Exp'!E8-'22-23 Exp'!F8-'22-23 Exp'!G8+'Cash Flow'!C44+'Cash Flow'!D44+'Cash Flow'!E44+'Cash Flow'!F44+'Cash Flow'!G44+'Cash Flow'!H44)/365)</f>
        <v>173.0782583810757</v>
      </c>
      <c r="I52" s="61">
        <f>I50/(('22-23 Exp'!N8-'22-23 Exp'!B8-'22-23 Exp'!C8-'22-23 Exp'!D8-'22-23 Exp'!E8-'22-23 Exp'!F8-'22-23 Exp'!G8-'22-23 Exp'!H8+'Cash Flow'!C44+'Cash Flow'!D44+'Cash Flow'!E44+'Cash Flow'!F44+'Cash Flow'!G44+'Cash Flow'!H44+'Cash Flow'!I44)/365)</f>
        <v>192.4620167736168</v>
      </c>
      <c r="J52" s="61">
        <f>J50/(('22-23 Exp'!N8-'22-23 Exp'!B8-'22-23 Exp'!C8-'22-23 Exp'!D8-'22-23 Exp'!E8-'22-23 Exp'!F8-'22-23 Exp'!G8-'22-23 Exp'!H8-'22-23 Exp'!I8+'Cash Flow'!C44+'Cash Flow'!D44+'Cash Flow'!E44+'Cash Flow'!F44+'Cash Flow'!G44+'Cash Flow'!H44+'Cash Flow'!I44+'Cash Flow'!J44)/365)</f>
        <v>217.80112841917796</v>
      </c>
      <c r="K52" s="61">
        <f>K50/(('22-23 Exp'!N8-'22-23 Exp'!B8-'22-23 Exp'!C8-'22-23 Exp'!D8-'22-23 Exp'!E8-'22-23 Exp'!F8-'22-23 Exp'!G8-'22-23 Exp'!H8-'22-23 Exp'!I8-'22-23 Exp'!J8+'Cash Flow'!C44+'Cash Flow'!D44+'Cash Flow'!E44+'Cash Flow'!F44+'Cash Flow'!G44+'Cash Flow'!H44+'Cash Flow'!I44+'Cash Flow'!J44+'Cash Flow'!K44)/365)</f>
        <v>249.35378664110152</v>
      </c>
      <c r="L52" s="61">
        <f>L50/(('22-23 Exp'!N8-'22-23 Exp'!B8-'22-23 Exp'!C8-'22-23 Exp'!D8-'22-23 Exp'!E8-'22-23 Exp'!F8-'22-23 Exp'!G8-'22-23 Exp'!H8-'22-23 Exp'!I8-'22-23 Exp'!J8-'22-23 Exp'!K8+'Cash Flow'!C44+'Cash Flow'!D44+'Cash Flow'!E44+'Cash Flow'!F44+'Cash Flow'!G44+'Cash Flow'!H44+'Cash Flow'!I44+'Cash Flow'!J44+'Cash Flow'!K44+'Cash Flow'!L44)/365)</f>
        <v>289.48919238950782</v>
      </c>
      <c r="M52" s="61">
        <f>M50/(('22-23 Exp'!N8-'22-23 Exp'!B8-'22-23 Exp'!C8-'22-23 Exp'!D8-'22-23 Exp'!E8-'22-23 Exp'!F8-'22-23 Exp'!G8-'22-23 Exp'!H8-'22-23 Exp'!I8-'22-23 Exp'!J8-'22-23 Exp'!K8-'22-23 Exp'!L8+'Cash Flow'!C44+'Cash Flow'!D44+'Cash Flow'!E44+'Cash Flow'!F44+'Cash Flow'!G44+'Cash Flow'!H44+'Cash Flow'!I44+'Cash Flow'!J44+'Cash Flow'!K44+'Cash Flow'!L44+'Cash Flow'!M44)/365)</f>
        <v>347.7280090040461</v>
      </c>
      <c r="N52" s="61">
        <f>(N50/$O$44)*365</f>
        <v>428.61799130327864</v>
      </c>
      <c r="O52" s="61">
        <f>(O50/$O$44)*365</f>
        <v>428.61799130327864</v>
      </c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">
      <c r="A53" s="5"/>
      <c r="B53" s="5"/>
      <c r="C53" s="5"/>
      <c r="D53" s="5"/>
      <c r="E53" s="5"/>
      <c r="F53" s="5"/>
      <c r="G53" s="5"/>
      <c r="H53" s="5"/>
      <c r="I53" s="5"/>
      <c r="J53" s="14"/>
      <c r="K53" s="5"/>
      <c r="L53" s="5"/>
      <c r="M53" s="5"/>
      <c r="N53" s="5"/>
      <c r="O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6">
      <c r="A54" s="5"/>
      <c r="B54" s="73" t="s">
        <v>83</v>
      </c>
      <c r="C54" s="61">
        <f>((C50-C41)/$O$44)*365</f>
        <v>455.90761315199131</v>
      </c>
      <c r="D54" s="61">
        <f>((D50-D41)/$O$44)*365</f>
        <v>446.64741081872427</v>
      </c>
      <c r="E54" s="61">
        <f t="shared" ref="E54:N54" si="11">((E50-E41)/$O$44)*365</f>
        <v>405.61058790410027</v>
      </c>
      <c r="F54" s="61">
        <f t="shared" si="11"/>
        <v>428.61799130327864</v>
      </c>
      <c r="G54" s="61">
        <f t="shared" si="11"/>
        <v>428.61799130327864</v>
      </c>
      <c r="H54" s="61">
        <f t="shared" si="11"/>
        <v>428.61799130327864</v>
      </c>
      <c r="I54" s="61">
        <f t="shared" si="11"/>
        <v>428.61799130327864</v>
      </c>
      <c r="J54" s="61">
        <f t="shared" si="11"/>
        <v>428.61799130327864</v>
      </c>
      <c r="K54" s="61">
        <f t="shared" si="11"/>
        <v>428.61799130327864</v>
      </c>
      <c r="L54" s="61">
        <f t="shared" si="11"/>
        <v>428.61799130327864</v>
      </c>
      <c r="M54" s="61">
        <f t="shared" si="11"/>
        <v>428.61799130327864</v>
      </c>
      <c r="N54" s="61">
        <f t="shared" si="11"/>
        <v>428.61799130327864</v>
      </c>
      <c r="O54" s="61">
        <f>((O50-O41)/$O$44)*365</f>
        <v>428.61799130327864</v>
      </c>
      <c r="Q54" s="5"/>
      <c r="R54" s="5" t="s">
        <v>106</v>
      </c>
      <c r="S54" s="5"/>
      <c r="T54" s="5"/>
      <c r="U54" s="5"/>
      <c r="V54" s="5"/>
      <c r="W54" s="5"/>
      <c r="X54" s="5"/>
      <c r="Y54" s="5"/>
      <c r="Z54" s="5"/>
    </row>
    <row r="55" spans="1:26" ht="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6" hidden="1">
      <c r="A58" s="5" t="s">
        <v>105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6" hidden="1">
      <c r="A59" s="5" t="s">
        <v>101</v>
      </c>
      <c r="B59" s="5" t="s">
        <v>102</v>
      </c>
      <c r="C59" s="64">
        <f>C35-C44+C60</f>
        <v>509073.7052000002</v>
      </c>
      <c r="D59" s="64">
        <f>SUM(C35:D35)-SUM(C44:D44)+D60</f>
        <v>490929.34760000027</v>
      </c>
      <c r="E59" s="64">
        <f>SUM(C35:E35)-SUM(C44:E44)+E60</f>
        <v>111508.12409999987</v>
      </c>
      <c r="F59" s="64">
        <f>SUM(C35:F35)-SUM(C44:F44)+F60</f>
        <v>460222.77339999948</v>
      </c>
      <c r="G59" s="64">
        <f>SUM(C35:G35)-SUM(C44:G44)+G60</f>
        <v>547362.83339999942</v>
      </c>
      <c r="H59" s="64">
        <f>SUM(C35:H35)-SUM(C44:H44)+H60</f>
        <v>634502.89339999948</v>
      </c>
      <c r="I59" s="64">
        <f>SUM(C35:I35)-SUM(C44:I44)+I60</f>
        <v>721642.95339999953</v>
      </c>
      <c r="J59" s="64">
        <f>SUM(C35:J35)-SUM(C44:J44)+J60</f>
        <v>808783.01339999959</v>
      </c>
      <c r="K59" s="64">
        <f>SUM(C35:K35)-SUM(C44:K44)+K60</f>
        <v>895923.07339999964</v>
      </c>
      <c r="L59" s="64">
        <f>SUM(C35:L35)-SUM(C44:L44)+L60</f>
        <v>983063.1333999997</v>
      </c>
      <c r="M59" s="64">
        <f>SUM(C35:M35)-SUM(C44:M44)+M60</f>
        <v>1070203.1933999998</v>
      </c>
      <c r="N59" s="64">
        <f>SUM(C35:N35)-SUM(C44:N44)+N60</f>
        <v>1157343.2533999998</v>
      </c>
      <c r="O59" s="5"/>
      <c r="Q59" s="58">
        <f>O35-O44+N60</f>
        <v>1157343.2533999998</v>
      </c>
      <c r="R59" s="5"/>
      <c r="S59" s="5"/>
      <c r="T59" s="5"/>
      <c r="U59" s="5"/>
      <c r="V59" s="5"/>
      <c r="W59" s="5"/>
      <c r="X59" s="5"/>
      <c r="Y59" s="5"/>
      <c r="Z59" s="5"/>
    </row>
    <row r="60" spans="1:26" ht="16" hidden="1">
      <c r="A60" s="5"/>
      <c r="B60" s="5" t="s">
        <v>103</v>
      </c>
      <c r="C60" s="64">
        <v>87137.35</v>
      </c>
      <c r="D60" s="64">
        <f>$C$60*2</f>
        <v>174274.7</v>
      </c>
      <c r="E60" s="64">
        <f>$C$60*3</f>
        <v>261412.05000000002</v>
      </c>
      <c r="F60" s="64">
        <f>$C$60*4</f>
        <v>348549.4</v>
      </c>
      <c r="G60" s="64">
        <f>F60+87140.06</f>
        <v>435689.46</v>
      </c>
      <c r="H60" s="64">
        <f>G60+(87140.06)</f>
        <v>522829.52</v>
      </c>
      <c r="I60" s="64">
        <f>H60+(87140.06)</f>
        <v>609969.58000000007</v>
      </c>
      <c r="J60" s="64">
        <f>I60+(87140.06)</f>
        <v>697109.64000000013</v>
      </c>
      <c r="K60" s="64">
        <f t="shared" ref="K60:N60" si="12">J60+(87140.06)</f>
        <v>784249.70000000019</v>
      </c>
      <c r="L60" s="64">
        <f>K60+(87140.06)</f>
        <v>871389.76000000024</v>
      </c>
      <c r="M60" s="64">
        <f t="shared" si="12"/>
        <v>958529.8200000003</v>
      </c>
      <c r="N60" s="64">
        <f t="shared" si="12"/>
        <v>1045669.8800000004</v>
      </c>
      <c r="O60" s="5"/>
      <c r="Q60" s="58">
        <f>N60</f>
        <v>1045669.8800000004</v>
      </c>
      <c r="R60" s="5"/>
      <c r="S60" s="5"/>
      <c r="T60" s="5"/>
      <c r="U60" s="5"/>
      <c r="V60" s="5"/>
      <c r="W60" s="5"/>
      <c r="X60" s="5"/>
      <c r="Y60" s="5"/>
      <c r="Z60" s="5"/>
    </row>
    <row r="61" spans="1:26" ht="16" hidden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6" hidden="1">
      <c r="A62" s="5"/>
      <c r="B62" s="5" t="s">
        <v>104</v>
      </c>
      <c r="C62" s="70">
        <f>C59/C60</f>
        <v>5.8421986117319404</v>
      </c>
      <c r="D62" s="70">
        <f t="shared" ref="D62:N62" si="13">D59/D60</f>
        <v>2.8169857563949341</v>
      </c>
      <c r="E62" s="70">
        <f t="shared" si="13"/>
        <v>0.4265607652745918</v>
      </c>
      <c r="F62" s="70">
        <f t="shared" si="13"/>
        <v>1.320394679778532</v>
      </c>
      <c r="G62" s="70">
        <f t="shared" si="13"/>
        <v>1.2563141495320989</v>
      </c>
      <c r="H62" s="70">
        <f t="shared" si="13"/>
        <v>1.2135942389021941</v>
      </c>
      <c r="I62" s="70">
        <f t="shared" si="13"/>
        <v>1.1830802339355997</v>
      </c>
      <c r="J62" s="70">
        <f t="shared" si="13"/>
        <v>1.1601948488332472</v>
      </c>
      <c r="K62" s="70">
        <f t="shared" si="13"/>
        <v>1.1423951751591355</v>
      </c>
      <c r="L62" s="70">
        <f t="shared" si="13"/>
        <v>1.128155480505072</v>
      </c>
      <c r="M62" s="70">
        <f t="shared" si="13"/>
        <v>1.1165048505220208</v>
      </c>
      <c r="N62" s="70">
        <f t="shared" si="13"/>
        <v>1.1067960123323046</v>
      </c>
      <c r="O62" s="5"/>
      <c r="Q62" s="71">
        <f>Q59/Q60</f>
        <v>1.1067960123323046</v>
      </c>
      <c r="R62" s="5"/>
      <c r="S62" s="5"/>
      <c r="T62" s="5"/>
      <c r="U62" s="5"/>
      <c r="V62" s="5"/>
      <c r="W62" s="5"/>
      <c r="X62" s="5"/>
      <c r="Y62" s="5"/>
      <c r="Z62" s="5"/>
    </row>
    <row r="63" spans="1:26" ht="16" hidden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6" hidden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6">
      <c r="A65" s="5"/>
      <c r="B65" s="5"/>
      <c r="C65" s="5"/>
      <c r="D65" s="5"/>
      <c r="E65" s="5"/>
      <c r="F65" s="5">
        <f>4558780.02+314290.15</f>
        <v>4873070.17</v>
      </c>
      <c r="G65" s="5"/>
      <c r="H65" s="5"/>
      <c r="I65" s="5"/>
      <c r="J65" s="5"/>
      <c r="K65" s="5"/>
      <c r="L65" s="5"/>
      <c r="M65" s="5"/>
      <c r="N65" s="5"/>
      <c r="O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6">
      <c r="A66" s="5"/>
      <c r="B66" s="5"/>
      <c r="C66" s="64"/>
      <c r="D66" s="64"/>
      <c r="E66" s="64"/>
      <c r="F66" s="64">
        <f>F50-F65</f>
        <v>1.9734000004827976</v>
      </c>
      <c r="G66" s="64"/>
      <c r="H66" s="64"/>
      <c r="I66" s="64"/>
      <c r="J66" s="64"/>
      <c r="K66" s="64"/>
      <c r="L66" s="64"/>
      <c r="M66" s="72" t="s">
        <v>101</v>
      </c>
      <c r="N66" s="5" t="s">
        <v>102</v>
      </c>
      <c r="O66" s="58">
        <f>AE35-8107997.75-(3890507.36+373160)+102240.21+O67+610571</f>
        <v>-5981639.5266000004</v>
      </c>
      <c r="P66" t="s">
        <v>110</v>
      </c>
      <c r="Q66" s="58" t="s">
        <v>116</v>
      </c>
      <c r="R66" s="5"/>
      <c r="S66" s="5"/>
      <c r="T66" s="5"/>
      <c r="U66" s="5"/>
      <c r="V66" s="5"/>
      <c r="W66" s="5"/>
      <c r="X66" s="5"/>
      <c r="Y66" s="5"/>
      <c r="Z66" s="5"/>
    </row>
    <row r="67" spans="1:26" ht="16">
      <c r="A67" s="5"/>
      <c r="B67" s="5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5"/>
      <c r="N67" s="5" t="s">
        <v>103</v>
      </c>
      <c r="O67" s="58">
        <f>(87137.35*4)+(87140.06*8)</f>
        <v>1045669.88</v>
      </c>
      <c r="Q67" s="58" t="s">
        <v>108</v>
      </c>
      <c r="R67" s="5"/>
      <c r="S67" s="5"/>
      <c r="T67" s="58"/>
      <c r="U67" s="5"/>
      <c r="V67" s="5"/>
      <c r="W67" s="5"/>
      <c r="X67" s="5"/>
      <c r="Y67" s="5"/>
      <c r="Z67" s="5"/>
    </row>
    <row r="68" spans="1:26" ht="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6">
      <c r="A69" s="5"/>
      <c r="B69" s="5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5"/>
      <c r="N69" s="5" t="s">
        <v>104</v>
      </c>
      <c r="O69" s="70">
        <f t="shared" ref="O69" si="14">O66/O67</f>
        <v>-5.7203900016705083</v>
      </c>
      <c r="Q69" s="5" t="s">
        <v>107</v>
      </c>
      <c r="R69" s="58">
        <f>1.1*O67</f>
        <v>1150236.868</v>
      </c>
      <c r="S69" s="5"/>
      <c r="T69" s="75">
        <f>O66-R69</f>
        <v>-7131876.3946000002</v>
      </c>
      <c r="U69" s="5" t="s">
        <v>117</v>
      </c>
      <c r="V69" s="5"/>
      <c r="W69" s="5"/>
      <c r="X69" s="58"/>
      <c r="Y69" s="5"/>
      <c r="Z69" s="5"/>
    </row>
    <row r="70" spans="1:26" ht="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 t="s">
        <v>111</v>
      </c>
      <c r="N71" s="5"/>
      <c r="O71" s="5"/>
      <c r="Q71" s="5"/>
      <c r="R71" s="5"/>
      <c r="S71" s="5"/>
      <c r="T71" s="5"/>
      <c r="U71" s="5"/>
      <c r="V71" s="5"/>
      <c r="W71" s="5"/>
      <c r="X71" s="58"/>
      <c r="Y71" s="5"/>
      <c r="Z71" s="5"/>
    </row>
    <row r="72" spans="1:26" ht="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1">
    <mergeCell ref="A5:B5"/>
  </mergeCells>
  <phoneticPr fontId="12" type="noConversion"/>
  <pageMargins left="0.7" right="0.7" top="0.75" bottom="0.75" header="0" footer="0"/>
  <pageSetup orientation="landscape" r:id="rId1"/>
  <headerFooter>
    <oddFooter>&amp;L&amp;D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E18" sqref="E18"/>
    </sheetView>
  </sheetViews>
  <sheetFormatPr baseColWidth="10" defaultColWidth="14.33203125" defaultRowHeight="15" customHeight="1"/>
  <cols>
    <col min="1" max="1" width="12.33203125" customWidth="1"/>
    <col min="2" max="2" width="12.83203125" customWidth="1"/>
    <col min="3" max="3" width="13.33203125" customWidth="1"/>
    <col min="4" max="4" width="16.1640625" customWidth="1"/>
    <col min="5" max="5" width="16.83203125" customWidth="1"/>
    <col min="6" max="6" width="15.33203125" customWidth="1"/>
    <col min="7" max="7" width="20" customWidth="1"/>
    <col min="8" max="8" width="24.33203125" customWidth="1"/>
    <col min="9" max="9" width="18.33203125" customWidth="1"/>
    <col min="10" max="10" width="15.1640625" customWidth="1"/>
    <col min="11" max="11" width="20.1640625" customWidth="1"/>
    <col min="12" max="12" width="14.1640625" customWidth="1"/>
    <col min="13" max="16" width="9.1640625" customWidth="1"/>
    <col min="17" max="26" width="8" customWidth="1"/>
  </cols>
  <sheetData>
    <row r="1" spans="1:26" ht="16">
      <c r="A1" s="1"/>
      <c r="B1" s="3" t="s">
        <v>0</v>
      </c>
      <c r="C1" s="3" t="s">
        <v>1</v>
      </c>
      <c r="D1" s="3" t="s">
        <v>2</v>
      </c>
      <c r="E1" s="3"/>
      <c r="F1" s="3" t="s">
        <v>3</v>
      </c>
      <c r="G1" s="3" t="s">
        <v>4</v>
      </c>
      <c r="H1" s="3" t="s">
        <v>5</v>
      </c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">
      <c r="A2" s="4" t="s">
        <v>7</v>
      </c>
      <c r="B2" s="7">
        <v>240500</v>
      </c>
      <c r="C2" s="10">
        <f>'Cash Flow'!C39</f>
        <v>523233.14999999997</v>
      </c>
      <c r="D2" s="4">
        <f>((C2)-(B2))/(B2)</f>
        <v>1.1756056133056132</v>
      </c>
      <c r="E2" s="4"/>
      <c r="F2" s="13">
        <v>284161</v>
      </c>
      <c r="G2" s="10">
        <f>'Cash Flow'!C40</f>
        <v>404505.73</v>
      </c>
      <c r="H2" s="4">
        <f>(SUM(G1:G2)-SUM(F1:F2))/SUM(F1:F2)</f>
        <v>0.42350896146902628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">
      <c r="A3" s="4" t="s">
        <v>22</v>
      </c>
      <c r="B3" s="7">
        <v>161800</v>
      </c>
      <c r="C3" s="10">
        <f>'Cash Flow'!D39</f>
        <v>603789.62</v>
      </c>
      <c r="D3" s="4">
        <f>((C2+C3)-(B2+B3))/(B2+B3)</f>
        <v>1.8014485955754413</v>
      </c>
      <c r="E3" s="4"/>
      <c r="F3" s="13">
        <v>304268</v>
      </c>
      <c r="G3" s="10">
        <f>'Cash Flow'!D40</f>
        <v>458448.51999999996</v>
      </c>
      <c r="H3" s="4">
        <f>(SUM(G2:G3)-SUM(F2:F3))/SUM(F2:F3)</f>
        <v>0.46653929361061403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>
      <c r="A4" s="4" t="s">
        <v>24</v>
      </c>
      <c r="B4" s="7">
        <v>312944</v>
      </c>
      <c r="C4" s="10">
        <f>'Cash Flow'!E39</f>
        <v>611454.89</v>
      </c>
      <c r="D4" s="4">
        <f>(SUM(C2:C4)-SUM(B2:B4))/SUM(B2:B4)</f>
        <v>1.4306078205479531</v>
      </c>
      <c r="E4" s="4"/>
      <c r="F4" s="13">
        <v>297377</v>
      </c>
      <c r="G4" s="10">
        <f>'Cash Flow'!E40</f>
        <v>462083.68999999994</v>
      </c>
      <c r="H4" s="4">
        <f>(SUM(G2:G4)-SUM(F2:F4))/SUM(F2:F4)</f>
        <v>0.49585568397594953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">
      <c r="A5" s="4" t="s">
        <v>25</v>
      </c>
      <c r="B5" s="7">
        <v>182512</v>
      </c>
      <c r="C5" s="10">
        <f>'Cash Flow'!F39</f>
        <v>531633.10000000009</v>
      </c>
      <c r="D5" s="4">
        <f>(SUM(C2:C5)-SUM(B2:B5))/SUM(B2:B5)</f>
        <v>1.5286500563627536</v>
      </c>
      <c r="E5" s="4"/>
      <c r="F5" s="13">
        <v>299725</v>
      </c>
      <c r="G5" s="10">
        <f>'Cash Flow'!F40</f>
        <v>484789.29000000004</v>
      </c>
      <c r="H5" s="4">
        <f>(SUM(G2:G5)-SUM(F2:F5))/SUM(F2:F5)</f>
        <v>0.52659629313784284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>
      <c r="A6" s="4" t="s">
        <v>26</v>
      </c>
      <c r="B6" s="7">
        <v>135311</v>
      </c>
      <c r="C6" s="10">
        <f>'Cash Flow'!G39</f>
        <v>0</v>
      </c>
      <c r="D6" s="4">
        <f>(SUM(C2:C6)-SUM(B2:B6))/SUM(B2:B6)</f>
        <v>1.1974477550826812</v>
      </c>
      <c r="E6" s="4"/>
      <c r="F6" s="13">
        <v>276711</v>
      </c>
      <c r="G6" s="10">
        <f>'Cash Flow'!G40</f>
        <v>0</v>
      </c>
      <c r="H6" s="4">
        <f>(SUM(G2:G6)-SUM(F2:F6))/SUM(F2:F6)</f>
        <v>0.2377070484912894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>
      <c r="A7" s="4" t="s">
        <v>27</v>
      </c>
      <c r="B7" s="7">
        <v>161957</v>
      </c>
      <c r="C7" s="10">
        <f>'Cash Flow'!H39</f>
        <v>0</v>
      </c>
      <c r="D7" s="4">
        <f>(SUM(C2:C7)-SUM(B2:B7))/SUM(B2:B7)</f>
        <v>0.89963612446277252</v>
      </c>
      <c r="E7" s="4"/>
      <c r="F7" s="13">
        <v>305513</v>
      </c>
      <c r="G7" s="10">
        <f>'Cash Flow'!H40</f>
        <v>0</v>
      </c>
      <c r="H7" s="4">
        <f>(SUM(G2:G7)-SUM(F2:F7))/SUM(F2:F7)</f>
        <v>2.3799808231344265E-2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">
      <c r="A8" s="4" t="s">
        <v>28</v>
      </c>
      <c r="B8" s="7">
        <v>260746</v>
      </c>
      <c r="C8" s="10">
        <f>'Cash Flow'!I39</f>
        <v>0</v>
      </c>
      <c r="D8" s="4">
        <f>(SUM(C2:C8)-SUM(B2:B8))/SUM(B2:B8)</f>
        <v>0.55938833744341498</v>
      </c>
      <c r="E8" s="4"/>
      <c r="F8" s="13">
        <v>284570</v>
      </c>
      <c r="G8" s="10">
        <f>'Cash Flow'!I40</f>
        <v>0</v>
      </c>
      <c r="H8" s="4">
        <f>(SUM(G2:G8)-SUM(F2:F8))/SUM(F2:F8)</f>
        <v>-0.11815758712679524</v>
      </c>
      <c r="I8" s="5"/>
      <c r="J8" s="5"/>
      <c r="K8" s="5"/>
      <c r="L8" s="5"/>
      <c r="M8" s="5"/>
      <c r="N8" s="5"/>
      <c r="O8" s="5"/>
      <c r="P8" s="5" t="s">
        <v>30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">
      <c r="A9" s="4" t="s">
        <v>31</v>
      </c>
      <c r="B9" s="7">
        <v>261083</v>
      </c>
      <c r="C9" s="10">
        <f>'Cash Flow'!J39</f>
        <v>0</v>
      </c>
      <c r="D9" s="4">
        <f>(SUM(C2:C9)-SUM(B2:B9))/SUM(B2:B9)</f>
        <v>0.32225109546361874</v>
      </c>
      <c r="E9" s="4"/>
      <c r="F9" s="13">
        <v>279968</v>
      </c>
      <c r="G9" s="10">
        <f>'Cash Flow'!J40</f>
        <v>0</v>
      </c>
      <c r="H9" s="4">
        <f>(SUM(G2:G9)-SUM(F2:F9))/SUM(F2:F9)</f>
        <v>-0.22401377957229218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">
      <c r="A10" s="4" t="s">
        <v>32</v>
      </c>
      <c r="B10" s="7">
        <v>218257</v>
      </c>
      <c r="C10" s="10">
        <f>'Cash Flow'!K39</f>
        <v>0</v>
      </c>
      <c r="D10" s="4">
        <f>(SUM(C2:C10)-SUM(B2:B10))/SUM(B2:B10)</f>
        <v>0.17311716646598913</v>
      </c>
      <c r="E10" s="4"/>
      <c r="F10" s="13">
        <v>299258</v>
      </c>
      <c r="G10" s="10">
        <f>'Cash Flow'!K40</f>
        <v>0</v>
      </c>
      <c r="H10" s="4">
        <f>(SUM(G2:G10)-SUM(F2:F10))/SUM(F2:F10)</f>
        <v>-0.3122583487836641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">
      <c r="A11" s="4" t="s">
        <v>33</v>
      </c>
      <c r="B11" s="7">
        <v>223349</v>
      </c>
      <c r="C11" s="10">
        <f>'Cash Flow'!L39</f>
        <v>0</v>
      </c>
      <c r="D11" s="4">
        <f>(SUM(C2:C11)-SUM(B2:B11))/SUM(B2:B11)</f>
        <v>5.1727533393036533E-2</v>
      </c>
      <c r="E11" s="4"/>
      <c r="F11" s="13">
        <v>302478</v>
      </c>
      <c r="G11" s="10">
        <f>'Cash Flow'!L40</f>
        <v>0</v>
      </c>
      <c r="H11" s="4">
        <f>(SUM(G2:G11)-SUM(F2:F11))/SUM(F2:F11)</f>
        <v>-0.38315973359499855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">
      <c r="A12" s="4" t="s">
        <v>34</v>
      </c>
      <c r="B12" s="7">
        <v>225926</v>
      </c>
      <c r="C12" s="10">
        <f>'Cash Flow'!M39</f>
        <v>0</v>
      </c>
      <c r="D12" s="4">
        <f>(SUM(C2:C12)-SUM(B2:B12))/SUM(B2:B12)</f>
        <v>-4.7926085762156595E-2</v>
      </c>
      <c r="E12" s="4"/>
      <c r="F12" s="13">
        <v>243318</v>
      </c>
      <c r="G12" s="10">
        <f>'Cash Flow'!M40</f>
        <v>0</v>
      </c>
      <c r="H12" s="4">
        <f>(SUM(G2:G12)-SUM(F2:F12))/SUM(F2:F12)</f>
        <v>-0.43039673350125118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">
      <c r="A13" s="4" t="s">
        <v>35</v>
      </c>
      <c r="B13" s="18">
        <v>261326</v>
      </c>
      <c r="C13" s="10">
        <f>'Cash Flow'!N39</f>
        <v>0</v>
      </c>
      <c r="D13" s="4">
        <f>(SUM(C2:C13)-SUM(B2:B13))/SUM(B2:B13)</f>
        <v>-0.14196570978462869</v>
      </c>
      <c r="E13" s="4"/>
      <c r="F13" s="13">
        <v>189075</v>
      </c>
      <c r="G13" s="19">
        <f>'Cash Flow'!N40</f>
        <v>0</v>
      </c>
      <c r="H13" s="4">
        <f>(SUM(G2:G13)-SUM(F2:F13))/SUM(F2:F13)</f>
        <v>-0.46238848546023048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">
      <c r="A14" s="20" t="s">
        <v>36</v>
      </c>
      <c r="B14" s="21">
        <f>SUM(B2:B13)</f>
        <v>2645711</v>
      </c>
      <c r="C14" s="22">
        <f>SUM(C2:C13)</f>
        <v>2270110.7600000002</v>
      </c>
      <c r="D14" s="4">
        <f>D5</f>
        <v>1.5286500563627536</v>
      </c>
      <c r="E14" s="20"/>
      <c r="F14" s="22">
        <f>SUM(F2:F13)</f>
        <v>3366422</v>
      </c>
      <c r="G14" s="22">
        <f>SUM(G2:G13)</f>
        <v>1809827.23</v>
      </c>
      <c r="H14" s="4">
        <f>H5</f>
        <v>0.52659629313784284</v>
      </c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">
      <c r="A15" s="4"/>
      <c r="B15" s="23"/>
      <c r="C15" s="5"/>
      <c r="D15" s="4"/>
      <c r="E15" s="4"/>
      <c r="F15" s="10"/>
      <c r="G15" s="10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">
      <c r="A16" s="22" t="s">
        <v>38</v>
      </c>
      <c r="B16" s="24">
        <v>13675793</v>
      </c>
      <c r="C16" s="5"/>
      <c r="D16" s="20" t="s">
        <v>39</v>
      </c>
      <c r="E16" s="13">
        <f>(B18-E18)-'Cash Flow'!O42</f>
        <v>4647531.68</v>
      </c>
      <c r="F16" s="5">
        <v>273514</v>
      </c>
      <c r="G16" s="20" t="s">
        <v>40</v>
      </c>
      <c r="H16" s="24">
        <v>0</v>
      </c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">
      <c r="A17" s="4"/>
      <c r="B17" s="23"/>
      <c r="C17" s="5"/>
      <c r="D17" s="5"/>
      <c r="E17" s="4"/>
      <c r="F17" s="5"/>
      <c r="G17" s="4"/>
      <c r="H17" s="10" t="s">
        <v>30</v>
      </c>
      <c r="I17" s="4"/>
      <c r="J17" s="14"/>
      <c r="K17" s="14"/>
      <c r="L17" s="14"/>
      <c r="M17" s="1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">
      <c r="A18" s="22" t="s">
        <v>41</v>
      </c>
      <c r="B18" s="24">
        <v>13200004</v>
      </c>
      <c r="C18" s="5"/>
      <c r="D18" s="20" t="s">
        <v>42</v>
      </c>
      <c r="E18" s="13">
        <f>4466582+1510862+2476611</f>
        <v>8454055</v>
      </c>
      <c r="F18" s="4"/>
      <c r="G18" s="20" t="s">
        <v>43</v>
      </c>
      <c r="H18" s="25">
        <v>1.25E-3</v>
      </c>
      <c r="I18" s="10"/>
      <c r="J18" s="14"/>
      <c r="K18" s="14"/>
      <c r="L18" s="1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">
      <c r="A19" s="4"/>
      <c r="B19" s="5"/>
      <c r="C19" s="5"/>
      <c r="D19" s="4"/>
      <c r="E19" s="4"/>
      <c r="F19" s="4" t="s">
        <v>30</v>
      </c>
      <c r="G19" s="10" t="s">
        <v>30</v>
      </c>
      <c r="H19" s="4"/>
      <c r="I19" s="10"/>
      <c r="J19" s="14"/>
      <c r="K19" s="14"/>
      <c r="L19" s="1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">
      <c r="A20" s="4"/>
      <c r="B20" s="23"/>
      <c r="C20" s="4"/>
      <c r="D20" s="4"/>
      <c r="E20" s="4"/>
      <c r="F20" s="4"/>
      <c r="G20" s="10"/>
      <c r="H20" s="4"/>
      <c r="I20" s="10"/>
      <c r="J20" s="14"/>
      <c r="K20" s="14"/>
      <c r="L20" s="1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6">
      <c r="A21" s="4"/>
      <c r="B21" s="5"/>
      <c r="C21" s="3" t="s">
        <v>44</v>
      </c>
      <c r="D21" s="4"/>
      <c r="E21" s="5"/>
      <c r="F21" s="10"/>
      <c r="G21" s="4"/>
      <c r="H21" s="23" t="s">
        <v>45</v>
      </c>
      <c r="I21" s="14"/>
      <c r="J21" s="14"/>
      <c r="K21" s="5"/>
      <c r="L21" s="1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6">
      <c r="A22" s="5"/>
      <c r="B22" s="26">
        <v>6198</v>
      </c>
      <c r="C22" s="26" t="s">
        <v>47</v>
      </c>
      <c r="D22" s="3" t="s">
        <v>48</v>
      </c>
      <c r="E22" s="3" t="s">
        <v>49</v>
      </c>
      <c r="F22" s="4"/>
      <c r="G22" s="3" t="s">
        <v>50</v>
      </c>
      <c r="H22" s="3" t="s">
        <v>51</v>
      </c>
      <c r="I22" s="3" t="s">
        <v>52</v>
      </c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6">
      <c r="A23" s="4" t="s">
        <v>7</v>
      </c>
      <c r="B23" s="24"/>
      <c r="C23" s="24"/>
      <c r="D23" s="24"/>
      <c r="E23" s="24"/>
      <c r="F23" s="4">
        <v>3100</v>
      </c>
      <c r="G23" s="24">
        <v>8785295.3499999996</v>
      </c>
      <c r="H23" s="27"/>
      <c r="I23" s="10">
        <f>IF(H23=0,0,G23-H23)</f>
        <v>0</v>
      </c>
      <c r="J23" s="10"/>
      <c r="K23" s="5"/>
      <c r="L23" s="4"/>
      <c r="M23" s="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6">
      <c r="A24" s="4" t="s">
        <v>22</v>
      </c>
      <c r="B24" s="24"/>
      <c r="C24" s="24"/>
      <c r="D24" s="24"/>
      <c r="E24" s="24"/>
      <c r="F24" s="4">
        <v>3121</v>
      </c>
      <c r="G24" s="24">
        <v>62317.07</v>
      </c>
      <c r="H24" s="27">
        <v>0</v>
      </c>
      <c r="I24" s="10">
        <f>IF(H24=0,0,G24-H24)</f>
        <v>0</v>
      </c>
      <c r="J24" s="10"/>
      <c r="K24" s="5"/>
      <c r="L24" s="4"/>
      <c r="M24" s="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6">
      <c r="A25" s="4" t="s">
        <v>24</v>
      </c>
      <c r="B25" s="24"/>
      <c r="C25" s="24"/>
      <c r="D25" s="24"/>
      <c r="E25" s="24"/>
      <c r="F25" s="4">
        <v>4121</v>
      </c>
      <c r="G25" s="24">
        <v>968553.68</v>
      </c>
      <c r="H25" s="27">
        <v>0</v>
      </c>
      <c r="I25" s="10">
        <f t="shared" ref="I25:I32" si="0">IF(H25=0,0,G25-H25)</f>
        <v>0</v>
      </c>
      <c r="J25" s="10"/>
      <c r="K25" s="5"/>
      <c r="L25" s="4"/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">
      <c r="A26" s="4" t="s">
        <v>25</v>
      </c>
      <c r="B26" s="24"/>
      <c r="C26" s="24"/>
      <c r="D26" s="24"/>
      <c r="E26" s="24"/>
      <c r="F26" s="4">
        <v>4155</v>
      </c>
      <c r="G26" s="24">
        <v>235549.13</v>
      </c>
      <c r="H26" s="27">
        <v>0</v>
      </c>
      <c r="I26" s="10">
        <f t="shared" si="0"/>
        <v>0</v>
      </c>
      <c r="J26" s="10"/>
      <c r="K26" s="5"/>
      <c r="L26" s="4"/>
      <c r="M26" s="4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">
      <c r="A27" s="4" t="s">
        <v>26</v>
      </c>
      <c r="B27" s="24"/>
      <c r="C27" s="24"/>
      <c r="D27" s="24"/>
      <c r="E27" s="24"/>
      <c r="F27" s="4">
        <v>4165</v>
      </c>
      <c r="G27" s="24"/>
      <c r="H27" s="27">
        <v>0</v>
      </c>
      <c r="I27" s="10">
        <f t="shared" si="0"/>
        <v>0</v>
      </c>
      <c r="J27" s="10"/>
      <c r="K27" s="5"/>
      <c r="L27" s="4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">
      <c r="A28" s="4" t="s">
        <v>27</v>
      </c>
      <c r="B28" s="24"/>
      <c r="C28" s="24"/>
      <c r="D28" s="24"/>
      <c r="E28" s="24"/>
      <c r="F28" s="4">
        <v>4174</v>
      </c>
      <c r="G28" s="24">
        <v>24102.22</v>
      </c>
      <c r="H28" s="27"/>
      <c r="I28" s="10">
        <f t="shared" si="0"/>
        <v>0</v>
      </c>
      <c r="J28" s="10"/>
      <c r="K28" s="5"/>
      <c r="L28" s="4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6">
      <c r="A29" s="4" t="s">
        <v>28</v>
      </c>
      <c r="B29" s="24"/>
      <c r="C29" s="24"/>
      <c r="D29" s="24"/>
      <c r="E29" s="24"/>
      <c r="F29" s="4">
        <v>4198</v>
      </c>
      <c r="G29" s="24">
        <v>0</v>
      </c>
      <c r="H29" s="27"/>
      <c r="I29" s="10">
        <f t="shared" si="0"/>
        <v>0</v>
      </c>
      <c r="J29" s="10"/>
      <c r="K29" s="5"/>
      <c r="L29" s="4"/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6">
      <c r="A30" s="4" t="s">
        <v>31</v>
      </c>
      <c r="B30" s="24"/>
      <c r="C30" s="24"/>
      <c r="D30" s="24"/>
      <c r="E30" s="24"/>
      <c r="F30" s="4">
        <v>4199</v>
      </c>
      <c r="G30" s="24">
        <v>506646.96</v>
      </c>
      <c r="H30" s="27">
        <v>0</v>
      </c>
      <c r="I30" s="10">
        <f t="shared" si="0"/>
        <v>0</v>
      </c>
      <c r="J30" s="10"/>
      <c r="K30" s="5"/>
      <c r="L30" s="4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6">
      <c r="A31" s="4" t="s">
        <v>32</v>
      </c>
      <c r="B31" s="24"/>
      <c r="C31" s="24"/>
      <c r="D31" s="24"/>
      <c r="E31" s="24"/>
      <c r="F31" s="4"/>
      <c r="G31" s="24"/>
      <c r="H31" s="27"/>
      <c r="I31" s="10">
        <f t="shared" si="0"/>
        <v>0</v>
      </c>
      <c r="J31" s="10"/>
      <c r="K31" s="5"/>
      <c r="L31" s="4"/>
      <c r="M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6">
      <c r="A32" s="4" t="s">
        <v>33</v>
      </c>
      <c r="B32" s="24"/>
      <c r="C32" s="24"/>
      <c r="D32" s="24"/>
      <c r="E32" s="24"/>
      <c r="F32" s="4"/>
      <c r="G32" s="24"/>
      <c r="H32" s="27"/>
      <c r="I32" s="10">
        <f t="shared" si="0"/>
        <v>0</v>
      </c>
      <c r="J32" s="10"/>
      <c r="K32" s="5"/>
      <c r="L32" s="4"/>
      <c r="M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6">
      <c r="A33" s="4" t="s">
        <v>34</v>
      </c>
      <c r="B33" s="28"/>
      <c r="C33" s="28"/>
      <c r="D33" s="28"/>
      <c r="E33" s="28"/>
      <c r="F33" s="5"/>
      <c r="G33" s="5"/>
      <c r="H33" s="5"/>
      <c r="I33" s="5"/>
      <c r="J33" s="10"/>
      <c r="K33" s="5"/>
      <c r="L33" s="4"/>
      <c r="M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">
      <c r="A34" s="4" t="s">
        <v>35</v>
      </c>
      <c r="B34" s="29"/>
      <c r="C34" s="29"/>
      <c r="D34" s="29"/>
      <c r="E34" s="29"/>
      <c r="F34" s="4"/>
      <c r="G34" s="5"/>
      <c r="H34" s="5"/>
      <c r="I34" s="5"/>
      <c r="J34" s="5"/>
      <c r="K34" s="5"/>
      <c r="L34" s="4"/>
      <c r="M34" s="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6">
      <c r="A35" s="20" t="s">
        <v>36</v>
      </c>
      <c r="B35" s="22">
        <f>SUM(B23:B34)</f>
        <v>0</v>
      </c>
      <c r="C35" s="22">
        <f>SUM(C23:C34)</f>
        <v>0</v>
      </c>
      <c r="D35" s="22">
        <f>SUM(D23:D34)</f>
        <v>0</v>
      </c>
      <c r="E35" s="22">
        <f>SUM(E23:E34)</f>
        <v>0</v>
      </c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6">
      <c r="A36" s="4"/>
      <c r="B36" s="4"/>
      <c r="C36" s="4"/>
      <c r="D36" s="4"/>
      <c r="E36" s="4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6">
      <c r="A37" s="4"/>
      <c r="B37" s="4" t="s">
        <v>54</v>
      </c>
      <c r="C37" s="4"/>
      <c r="D37" s="5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6">
      <c r="A38" s="4"/>
      <c r="B38" s="20"/>
      <c r="C38" s="20"/>
      <c r="D38" s="5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" customHeight="1">
      <c r="A999" s="5"/>
      <c r="B999" s="5"/>
      <c r="C999" s="5"/>
      <c r="D999" s="5"/>
      <c r="E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" customHeight="1">
      <c r="A1000" s="5"/>
      <c r="B1000" s="5"/>
      <c r="C1000" s="5"/>
      <c r="D1000" s="5"/>
      <c r="E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  <headerFooter>
    <oddFooter>&amp;L&amp;D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50BC-8644-4B48-948D-201D2AE29FD8}">
  <dimension ref="B6:N8"/>
  <sheetViews>
    <sheetView workbookViewId="0">
      <selection activeCell="B7" sqref="B7:M7"/>
    </sheetView>
  </sheetViews>
  <sheetFormatPr baseColWidth="10" defaultRowHeight="14"/>
  <sheetData>
    <row r="6" spans="2:14" ht="15" thickBot="1"/>
    <row r="7" spans="2:14" ht="16" thickBot="1">
      <c r="B7" s="9" t="s">
        <v>8</v>
      </c>
      <c r="C7" s="11" t="s">
        <v>9</v>
      </c>
      <c r="D7" s="11" t="s">
        <v>10</v>
      </c>
      <c r="E7" s="11" t="s">
        <v>11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  <c r="K7" s="11" t="s">
        <v>17</v>
      </c>
      <c r="L7" s="11" t="s">
        <v>18</v>
      </c>
      <c r="M7" s="12" t="s">
        <v>19</v>
      </c>
    </row>
    <row r="8" spans="2:14" ht="17" thickBot="1">
      <c r="B8" s="32">
        <v>1067742.8500000001</v>
      </c>
      <c r="C8" s="32">
        <v>1332759.5999999999</v>
      </c>
      <c r="D8" s="32">
        <v>993571.6100000001</v>
      </c>
      <c r="E8" s="32">
        <v>1019514.23</v>
      </c>
      <c r="F8" s="32">
        <v>925474.57</v>
      </c>
      <c r="G8" s="32">
        <v>1002158.0499999999</v>
      </c>
      <c r="H8" s="32">
        <v>1035013.81</v>
      </c>
      <c r="I8" s="32">
        <v>1075181.8700000001</v>
      </c>
      <c r="J8" s="32">
        <v>1033369.324475985</v>
      </c>
      <c r="K8" s="32">
        <v>988951.60771589994</v>
      </c>
      <c r="L8" s="32">
        <v>1029049.387608125</v>
      </c>
      <c r="M8" s="32">
        <v>965340.16258742998</v>
      </c>
      <c r="N8" s="33">
        <v>12468127.07238744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Flow-Jan Update</vt:lpstr>
      <vt:lpstr>Cash Flow</vt:lpstr>
      <vt:lpstr>ENTRY</vt:lpstr>
      <vt:lpstr>22-23 Exp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Dauphin</dc:creator>
  <cp:lastModifiedBy>Sam Schweda</cp:lastModifiedBy>
  <dcterms:created xsi:type="dcterms:W3CDTF">2018-07-03T21:19:35Z</dcterms:created>
  <dcterms:modified xsi:type="dcterms:W3CDTF">2024-02-02T21:43:06Z</dcterms:modified>
</cp:coreProperties>
</file>