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 Warner\Dropbox (Charter School Management Corporation)\3 Rivers\State &amp; District Reports\FY1718\"/>
    </mc:Choice>
  </mc:AlternateContent>
  <xr:revisionPtr revIDLastSave="0" documentId="8_{65E9846E-D972-428E-B4FE-83C304C4C0D9}" xr6:coauthVersionLast="28" xr6:coauthVersionMax="28" xr10:uidLastSave="{00000000-0000-0000-0000-000000000000}"/>
  <bookViews>
    <workbookView xWindow="19155" yWindow="345" windowWidth="19200" windowHeight="11280" activeTab="1" xr2:uid="{00000000-000D-0000-FFFF-FFFF00000000}"/>
  </bookViews>
  <sheets>
    <sheet name="Certification" sheetId="2" r:id="rId1"/>
    <sheet name="Form" sheetId="1" r:id="rId2"/>
  </sheets>
  <definedNames>
    <definedName name="_xlnm.Print_Area" localSheetId="1">Form!$A$1:$J$219</definedName>
    <definedName name="_xlnm.Print_Titles" localSheetId="1">Form!$1:$6</definedName>
  </definedNames>
  <calcPr calcId="171027"/>
</workbook>
</file>

<file path=xl/calcChain.xml><?xml version="1.0" encoding="utf-8"?>
<calcChain xmlns="http://schemas.openxmlformats.org/spreadsheetml/2006/main">
  <c r="F155" i="1" l="1"/>
  <c r="G34" i="1"/>
  <c r="G70" i="1"/>
  <c r="G88" i="1"/>
  <c r="F88" i="1" s="1"/>
  <c r="G92" i="1"/>
  <c r="F92" i="1" s="1"/>
  <c r="F94" i="1"/>
  <c r="F93" i="1"/>
  <c r="F91" i="1"/>
  <c r="F89" i="1"/>
  <c r="F84" i="1"/>
  <c r="F83" i="1"/>
  <c r="F82" i="1"/>
  <c r="F81" i="1"/>
  <c r="F80" i="1"/>
  <c r="F70" i="1"/>
  <c r="F73" i="1"/>
  <c r="F72" i="1"/>
  <c r="F71" i="1"/>
  <c r="F68" i="1"/>
  <c r="F63" i="1"/>
  <c r="F60" i="1"/>
  <c r="F55" i="1"/>
  <c r="F53" i="1"/>
  <c r="F40" i="1"/>
  <c r="A1" i="1"/>
  <c r="I93" i="1" l="1"/>
  <c r="I92" i="1"/>
  <c r="J92" i="1" s="1"/>
  <c r="I88" i="1"/>
  <c r="I82" i="1"/>
  <c r="J82" i="1" s="1"/>
  <c r="I83" i="1"/>
  <c r="I70" i="1"/>
  <c r="I53" i="1"/>
  <c r="J53" i="1" s="1"/>
  <c r="I46" i="1"/>
  <c r="J45" i="1"/>
  <c r="J117" i="1"/>
  <c r="J116" i="1"/>
  <c r="J115" i="1"/>
  <c r="J114" i="1"/>
  <c r="J113" i="1"/>
  <c r="J112" i="1"/>
  <c r="J111" i="1"/>
  <c r="J110" i="1"/>
  <c r="J106" i="1"/>
  <c r="J105" i="1"/>
  <c r="J104" i="1"/>
  <c r="J103" i="1"/>
  <c r="J102" i="1"/>
  <c r="J101" i="1"/>
  <c r="J100" i="1"/>
  <c r="J94" i="1"/>
  <c r="J93" i="1"/>
  <c r="J91" i="1"/>
  <c r="J90" i="1"/>
  <c r="J89" i="1"/>
  <c r="J88" i="1"/>
  <c r="J84" i="1"/>
  <c r="J83" i="1"/>
  <c r="J81" i="1"/>
  <c r="J80" i="1"/>
  <c r="J76" i="1"/>
  <c r="J75" i="1"/>
  <c r="J74" i="1"/>
  <c r="J73" i="1"/>
  <c r="J72" i="1"/>
  <c r="J71" i="1"/>
  <c r="J70" i="1"/>
  <c r="J69" i="1"/>
  <c r="J68" i="1"/>
  <c r="J64" i="1"/>
  <c r="J63" i="1"/>
  <c r="J62" i="1"/>
  <c r="J61" i="1"/>
  <c r="J60" i="1"/>
  <c r="J56" i="1"/>
  <c r="J55" i="1"/>
  <c r="J54" i="1"/>
  <c r="J46" i="1"/>
  <c r="J40" i="1"/>
  <c r="J39" i="1"/>
  <c r="J38" i="1"/>
  <c r="J34" i="1"/>
  <c r="J33" i="1"/>
  <c r="J32" i="1"/>
  <c r="J31" i="1"/>
  <c r="J19" i="1"/>
  <c r="J20" i="1"/>
  <c r="J21" i="1"/>
  <c r="J22" i="1"/>
  <c r="J23" i="1"/>
  <c r="J24" i="1"/>
  <c r="J25" i="1"/>
  <c r="J26" i="1"/>
  <c r="J27" i="1"/>
  <c r="J18" i="1"/>
  <c r="J95" i="1" l="1"/>
  <c r="J57" i="1"/>
  <c r="H155" i="1"/>
  <c r="H153" i="1"/>
  <c r="H93" i="1"/>
  <c r="K93" i="1" s="1"/>
  <c r="L93" i="1" s="1"/>
  <c r="F95" i="1"/>
  <c r="H88" i="1"/>
  <c r="K88" i="1" s="1"/>
  <c r="L88" i="1" s="1"/>
  <c r="H84" i="1"/>
  <c r="K84" i="1" s="1"/>
  <c r="H81" i="1"/>
  <c r="K81" i="1" s="1"/>
  <c r="L81" i="1" s="1"/>
  <c r="F85" i="1"/>
  <c r="H71" i="1"/>
  <c r="K71" i="1" s="1"/>
  <c r="L71" i="1" s="1"/>
  <c r="F77" i="1"/>
  <c r="H60" i="1"/>
  <c r="K60" i="1" s="1"/>
  <c r="L60" i="1" s="1"/>
  <c r="F57" i="1"/>
  <c r="H46" i="1"/>
  <c r="K46" i="1" s="1"/>
  <c r="L46" i="1" s="1"/>
  <c r="I85" i="1"/>
  <c r="I77" i="1"/>
  <c r="I41" i="1"/>
  <c r="E6" i="1"/>
  <c r="E7" i="1"/>
  <c r="E8" i="1"/>
  <c r="E9" i="1"/>
  <c r="E5" i="1"/>
  <c r="A3" i="1"/>
  <c r="H92" i="1"/>
  <c r="K92" i="1" s="1"/>
  <c r="L92" i="1" s="1"/>
  <c r="H82" i="1"/>
  <c r="K82" i="1" s="1"/>
  <c r="L82" i="1" s="1"/>
  <c r="I28" i="1"/>
  <c r="H19" i="1"/>
  <c r="K19" i="1" s="1"/>
  <c r="L19" i="1" s="1"/>
  <c r="G167" i="1"/>
  <c r="H94" i="1"/>
  <c r="K94" i="1" s="1"/>
  <c r="L94" i="1" s="1"/>
  <c r="J41" i="1"/>
  <c r="F219" i="1"/>
  <c r="G204" i="1"/>
  <c r="F204" i="1"/>
  <c r="H204" i="1" s="1"/>
  <c r="H202" i="1"/>
  <c r="H201" i="1"/>
  <c r="H200" i="1"/>
  <c r="H199" i="1"/>
  <c r="H198" i="1"/>
  <c r="H197" i="1"/>
  <c r="H196" i="1"/>
  <c r="H195" i="1"/>
  <c r="H194" i="1"/>
  <c r="H193" i="1"/>
  <c r="H179" i="1"/>
  <c r="G179" i="1"/>
  <c r="F179" i="1"/>
  <c r="G176" i="1"/>
  <c r="H174" i="1"/>
  <c r="H173" i="1"/>
  <c r="H172" i="1"/>
  <c r="H171" i="1"/>
  <c r="H170" i="1"/>
  <c r="H164" i="1"/>
  <c r="H163" i="1"/>
  <c r="H162" i="1"/>
  <c r="H161" i="1"/>
  <c r="H160" i="1"/>
  <c r="H159" i="1"/>
  <c r="H158" i="1"/>
  <c r="H157" i="1"/>
  <c r="H156" i="1"/>
  <c r="H154" i="1"/>
  <c r="H149" i="1"/>
  <c r="H148" i="1"/>
  <c r="H147" i="1"/>
  <c r="H146" i="1"/>
  <c r="H145" i="1"/>
  <c r="H144" i="1"/>
  <c r="H143" i="1"/>
  <c r="H142" i="1"/>
  <c r="G139" i="1"/>
  <c r="F139" i="1"/>
  <c r="H138" i="1"/>
  <c r="H137" i="1"/>
  <c r="J137" i="1" s="1"/>
  <c r="J139" i="1" s="1"/>
  <c r="I139" i="1"/>
  <c r="G131" i="1"/>
  <c r="F131" i="1"/>
  <c r="H129" i="1"/>
  <c r="H128" i="1" s="1"/>
  <c r="H127" i="1"/>
  <c r="H126" i="1"/>
  <c r="I118" i="1"/>
  <c r="I107" i="1"/>
  <c r="I95" i="1"/>
  <c r="I65" i="1"/>
  <c r="I57" i="1"/>
  <c r="I47" i="1"/>
  <c r="I35" i="1"/>
  <c r="H91" i="1"/>
  <c r="K91" i="1" s="1"/>
  <c r="L91" i="1" s="1"/>
  <c r="H45" i="1"/>
  <c r="K45" i="1" s="1"/>
  <c r="L45" i="1" s="1"/>
  <c r="H20" i="1"/>
  <c r="K20" i="1" s="1"/>
  <c r="L20" i="1" s="1"/>
  <c r="H83" i="1"/>
  <c r="K83" i="1" s="1"/>
  <c r="L83" i="1" s="1"/>
  <c r="J35" i="1"/>
  <c r="J47" i="1"/>
  <c r="J65" i="1"/>
  <c r="J77" i="1"/>
  <c r="J118" i="1"/>
  <c r="F118" i="1"/>
  <c r="F41" i="1"/>
  <c r="F35" i="1"/>
  <c r="J107" i="1"/>
  <c r="F107" i="1"/>
  <c r="H107" i="1" s="1"/>
  <c r="K107" i="1" s="1"/>
  <c r="G28" i="1"/>
  <c r="G35" i="1"/>
  <c r="G41" i="1"/>
  <c r="G47" i="1"/>
  <c r="G65" i="1"/>
  <c r="G77" i="1"/>
  <c r="G85" i="1"/>
  <c r="G95" i="1"/>
  <c r="G107" i="1"/>
  <c r="G118" i="1"/>
  <c r="H117" i="1"/>
  <c r="H116" i="1"/>
  <c r="K116" i="1" s="1"/>
  <c r="L116" i="1" s="1"/>
  <c r="H114" i="1"/>
  <c r="K114" i="1"/>
  <c r="L114" i="1" s="1"/>
  <c r="H112" i="1"/>
  <c r="K112" i="1" s="1"/>
  <c r="L112" i="1" s="1"/>
  <c r="H90" i="1"/>
  <c r="H89" i="1"/>
  <c r="K89" i="1" s="1"/>
  <c r="L89" i="1" s="1"/>
  <c r="H76" i="1"/>
  <c r="K76" i="1" s="1"/>
  <c r="L76" i="1" s="1"/>
  <c r="H75" i="1"/>
  <c r="K75" i="1" s="1"/>
  <c r="L75" i="1" s="1"/>
  <c r="H74" i="1"/>
  <c r="K74" i="1" s="1"/>
  <c r="L74" i="1" s="1"/>
  <c r="H73" i="1"/>
  <c r="K73" i="1" s="1"/>
  <c r="L73" i="1" s="1"/>
  <c r="H72" i="1"/>
  <c r="K72" i="1" s="1"/>
  <c r="L72" i="1" s="1"/>
  <c r="H69" i="1"/>
  <c r="K69" i="1" s="1"/>
  <c r="L69" i="1" s="1"/>
  <c r="H64" i="1"/>
  <c r="K64" i="1" s="1"/>
  <c r="L64" i="1" s="1"/>
  <c r="H63" i="1"/>
  <c r="K63" i="1" s="1"/>
  <c r="L63" i="1" s="1"/>
  <c r="H62" i="1"/>
  <c r="K62" i="1" s="1"/>
  <c r="L62" i="1" s="1"/>
  <c r="H61" i="1"/>
  <c r="K61" i="1" s="1"/>
  <c r="L61" i="1" s="1"/>
  <c r="H56" i="1"/>
  <c r="H55" i="1"/>
  <c r="K55" i="1" s="1"/>
  <c r="H54" i="1"/>
  <c r="H40" i="1"/>
  <c r="K40" i="1" s="1"/>
  <c r="L40" i="1" s="1"/>
  <c r="H39" i="1"/>
  <c r="H38" i="1"/>
  <c r="K38" i="1" s="1"/>
  <c r="L38" i="1" s="1"/>
  <c r="H34" i="1"/>
  <c r="K34" i="1" s="1"/>
  <c r="L34" i="1" s="1"/>
  <c r="H33" i="1"/>
  <c r="H32" i="1"/>
  <c r="H31" i="1"/>
  <c r="H26" i="1"/>
  <c r="H24" i="1"/>
  <c r="H23" i="1"/>
  <c r="H22" i="1"/>
  <c r="H21" i="1"/>
  <c r="K21" i="1" s="1"/>
  <c r="H18" i="1"/>
  <c r="H70" i="1"/>
  <c r="K70" i="1" s="1"/>
  <c r="L70" i="1" s="1"/>
  <c r="G57" i="1"/>
  <c r="F28" i="1"/>
  <c r="H28" i="1" s="1"/>
  <c r="J28" i="1"/>
  <c r="F176" i="1"/>
  <c r="H176" i="1" s="1"/>
  <c r="H165" i="1"/>
  <c r="F47" i="1"/>
  <c r="H47" i="1" s="1"/>
  <c r="K47" i="1" s="1"/>
  <c r="L47" i="1" s="1"/>
  <c r="H68" i="1"/>
  <c r="K68" i="1" s="1"/>
  <c r="L68" i="1" s="1"/>
  <c r="G120" i="1"/>
  <c r="G49" i="1" l="1"/>
  <c r="G123" i="1" s="1"/>
  <c r="G133" i="1" s="1"/>
  <c r="G140" i="1" s="1"/>
  <c r="G150" i="1" s="1"/>
  <c r="H35" i="1"/>
  <c r="K35" i="1" s="1"/>
  <c r="L35" i="1" s="1"/>
  <c r="H41" i="1"/>
  <c r="K41" i="1" s="1"/>
  <c r="L41" i="1" s="1"/>
  <c r="H118" i="1"/>
  <c r="H85" i="1"/>
  <c r="H95" i="1"/>
  <c r="K95" i="1" s="1"/>
  <c r="L95" i="1" s="1"/>
  <c r="G180" i="1"/>
  <c r="H139" i="1"/>
  <c r="H131" i="1"/>
  <c r="H77" i="1"/>
  <c r="K77" i="1" s="1"/>
  <c r="L77" i="1" s="1"/>
  <c r="J49" i="1"/>
  <c r="K118" i="1"/>
  <c r="L118" i="1" s="1"/>
  <c r="K28" i="1"/>
  <c r="L28" i="1" s="1"/>
  <c r="I49" i="1"/>
  <c r="H57" i="1"/>
  <c r="K57" i="1" s="1"/>
  <c r="L57" i="1" s="1"/>
  <c r="I120" i="1"/>
  <c r="H80" i="1"/>
  <c r="K80" i="1" s="1"/>
  <c r="L80" i="1" s="1"/>
  <c r="H53" i="1"/>
  <c r="K53" i="1" s="1"/>
  <c r="L53" i="1" s="1"/>
  <c r="F167" i="1"/>
  <c r="L55" i="1"/>
  <c r="K90" i="1"/>
  <c r="L90" i="1" s="1"/>
  <c r="F65" i="1"/>
  <c r="H65" i="1" s="1"/>
  <c r="K65" i="1" s="1"/>
  <c r="L65" i="1" s="1"/>
  <c r="F49" i="1"/>
  <c r="J85" i="1"/>
  <c r="J120" i="1" s="1"/>
  <c r="G182" i="1" l="1"/>
  <c r="J123" i="1"/>
  <c r="J133" i="1" s="1"/>
  <c r="J140" i="1" s="1"/>
  <c r="J150" i="1" s="1"/>
  <c r="I123" i="1"/>
  <c r="I133" i="1" s="1"/>
  <c r="I140" i="1" s="1"/>
  <c r="I150" i="1" s="1"/>
  <c r="F120" i="1"/>
  <c r="H120" i="1" s="1"/>
  <c r="K120" i="1" s="1"/>
  <c r="L120" i="1" s="1"/>
  <c r="H167" i="1"/>
  <c r="H180" i="1" s="1"/>
  <c r="F180" i="1"/>
  <c r="K85" i="1"/>
  <c r="L85" i="1" s="1"/>
  <c r="H49" i="1"/>
  <c r="K49" i="1" s="1"/>
  <c r="L49" i="1" s="1"/>
  <c r="F123" i="1" l="1"/>
  <c r="F133" i="1" s="1"/>
  <c r="F140" i="1" s="1"/>
  <c r="H123" i="1" l="1"/>
  <c r="H133" i="1" s="1"/>
  <c r="H140" i="1"/>
  <c r="H182" i="1" s="1"/>
  <c r="F150" i="1"/>
  <c r="H150" i="1" s="1"/>
  <c r="F182" i="1"/>
</calcChain>
</file>

<file path=xl/sharedStrings.xml><?xml version="1.0" encoding="utf-8"?>
<sst xmlns="http://schemas.openxmlformats.org/spreadsheetml/2006/main" count="441" uniqueCount="283">
  <si>
    <t>FINANCIAL REPORT -- ALTERNATIVE FORM</t>
  </si>
  <si>
    <t>Charter School Name:</t>
  </si>
  <si>
    <t>CDS #:</t>
  </si>
  <si>
    <t>Charter Approving Entity:</t>
  </si>
  <si>
    <t>County:</t>
  </si>
  <si>
    <t>Charter #:</t>
  </si>
  <si>
    <t>This charter school uses the following basis of accounting:</t>
  </si>
  <si>
    <t>Please enter an "X" in the applicable box below; check only one box</t>
  </si>
  <si>
    <r>
      <t>Accrual Basis</t>
    </r>
    <r>
      <rPr>
        <sz val="10"/>
        <color indexed="8"/>
        <rFont val="Arial"/>
        <family val="2"/>
      </rPr>
      <t xml:space="preserve"> (</t>
    </r>
    <r>
      <rPr>
        <sz val="9"/>
        <color indexed="8"/>
        <rFont val="Arial"/>
        <family val="2"/>
      </rPr>
      <t>Applicable Capital Assets/Interest on Long-Term Debt/Long-Term Liabilities objects are 6900, 7438, 9400-9499, and 9660-9669)</t>
    </r>
  </si>
  <si>
    <r>
      <t xml:space="preserve">Modified Accrual Basis </t>
    </r>
    <r>
      <rPr>
        <sz val="9"/>
        <color indexed="8"/>
        <rFont val="Arial"/>
        <family val="2"/>
      </rPr>
      <t xml:space="preserve">(Applicable Capital Outlay/Debt Service objects are 6100-6170, 6200-6500, 7438, and 7439) </t>
    </r>
  </si>
  <si>
    <t xml:space="preserve">              Description</t>
  </si>
  <si>
    <t>Object Code</t>
  </si>
  <si>
    <t>Unrestricted</t>
  </si>
  <si>
    <t>Restricted</t>
  </si>
  <si>
    <t>Total</t>
  </si>
  <si>
    <t>A.</t>
  </si>
  <si>
    <t>REVENUES</t>
  </si>
  <si>
    <t xml:space="preserve"> </t>
  </si>
  <si>
    <t>1.</t>
  </si>
  <si>
    <t>Revenue Limit Sources</t>
  </si>
  <si>
    <t>State Aid - Current Year</t>
  </si>
  <si>
    <t>Charter Schools Gen. Purpose Entitlement - State Aid</t>
  </si>
  <si>
    <t>State Aid - Prior Years</t>
  </si>
  <si>
    <t xml:space="preserve">Tax Relief Subventions (for rev. limit funded schools) </t>
  </si>
  <si>
    <t>8020-8039</t>
  </si>
  <si>
    <t>County and District Taxes (for rev. limit funded schools)</t>
  </si>
  <si>
    <t>8040-8079</t>
  </si>
  <si>
    <t>Miscellaneous Funds (for rev. limit funded schools)</t>
  </si>
  <si>
    <t>8080-8089</t>
  </si>
  <si>
    <t>Revenue Limit Transfers (for rev. limit funded schools):</t>
  </si>
  <si>
    <t xml:space="preserve">    PERS Reduction Transfer</t>
  </si>
  <si>
    <t xml:space="preserve">    Other Revenue Limit Transfers</t>
  </si>
  <si>
    <t xml:space="preserve">          Total, Revenue Limit Sources</t>
  </si>
  <si>
    <t>2.</t>
  </si>
  <si>
    <t>Federal Revenues (see NOTE on last page)</t>
  </si>
  <si>
    <t xml:space="preserve">No Child Left Behind </t>
  </si>
  <si>
    <t>Special Education - Federal</t>
  </si>
  <si>
    <t>8181, 8182</t>
  </si>
  <si>
    <t>Child Nutrition - Federal</t>
  </si>
  <si>
    <t>Other Federal Revenues</t>
  </si>
  <si>
    <t>8110, 8260-8299</t>
  </si>
  <si>
    <t xml:space="preserve">          Total, Federal Revenues </t>
  </si>
  <si>
    <t>3.</t>
  </si>
  <si>
    <t>Other State Revenues</t>
  </si>
  <si>
    <t xml:space="preserve">Charter Schools Categorical Block Grant </t>
  </si>
  <si>
    <t>Special Education - State</t>
  </si>
  <si>
    <t>StateRevSE</t>
  </si>
  <si>
    <t>All Other State Revenues</t>
  </si>
  <si>
    <t>StateRevAO</t>
  </si>
  <si>
    <t xml:space="preserve">         Total, Other State Revenues</t>
  </si>
  <si>
    <t>4.</t>
  </si>
  <si>
    <t>Other Local Revenues</t>
  </si>
  <si>
    <t xml:space="preserve">Transfers from Sponsoring LEAs to Charter Schools </t>
  </si>
  <si>
    <t xml:space="preserve"> in Lieu of Property Taxes</t>
  </si>
  <si>
    <t>All Other Local Revenues</t>
  </si>
  <si>
    <t>LocalRevAO</t>
  </si>
  <si>
    <t xml:space="preserve">          Total, Local Revenues</t>
  </si>
  <si>
    <t>5.</t>
  </si>
  <si>
    <t>TOTAL REVENUES</t>
  </si>
  <si>
    <t>B.</t>
  </si>
  <si>
    <t>EXPENDITURES</t>
  </si>
  <si>
    <t>Certificated Salaries</t>
  </si>
  <si>
    <t>Teachers' Salaries</t>
  </si>
  <si>
    <t>Certificated Pupil Support Salaries</t>
  </si>
  <si>
    <t>Certificated Supervisors' and Administrators' Salaries</t>
  </si>
  <si>
    <t>Other Certificated Salaries</t>
  </si>
  <si>
    <t xml:space="preserve">          Total, Certificated Salaries</t>
  </si>
  <si>
    <t>Non-certificated Salaries</t>
  </si>
  <si>
    <t>Instructional Aides' Salaries</t>
  </si>
  <si>
    <t>Non-certificated Support Salaries</t>
  </si>
  <si>
    <t>Non-certificated Supervisors' and Administrators' Sal.</t>
  </si>
  <si>
    <t>Clerical and Office Salaries</t>
  </si>
  <si>
    <t>Other Non-certificated Salaries</t>
  </si>
  <si>
    <t xml:space="preserve">          Total, Non-certificated Salaries</t>
  </si>
  <si>
    <t>Employee Benefits</t>
  </si>
  <si>
    <t>STRS</t>
  </si>
  <si>
    <t>3101-3102</t>
  </si>
  <si>
    <t>PERS</t>
  </si>
  <si>
    <t>3201-3202</t>
  </si>
  <si>
    <t>OASDI / Medicare / Alternative</t>
  </si>
  <si>
    <t>3301-3302</t>
  </si>
  <si>
    <t>Health and Welfare Benefits</t>
  </si>
  <si>
    <t>3401-3402</t>
  </si>
  <si>
    <t>Unemployment Insurance</t>
  </si>
  <si>
    <t>3501-3502</t>
  </si>
  <si>
    <t>Workers' Compensation Insurance</t>
  </si>
  <si>
    <t>3601-3602</t>
  </si>
  <si>
    <t>Retiree Benefits</t>
  </si>
  <si>
    <t>3701-3702</t>
  </si>
  <si>
    <t>PERS Reduction (for revenue limit funded schools)</t>
  </si>
  <si>
    <t>3801-3802</t>
  </si>
  <si>
    <t>Other Employee Benefits</t>
  </si>
  <si>
    <t>3901-3902</t>
  </si>
  <si>
    <t xml:space="preserve">          Total, Employee Benefits</t>
  </si>
  <si>
    <t>Books and Supplies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</si>
  <si>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</si>
  <si>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</si>
  <si>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</si>
  <si>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</si>
  <si>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</si>
  <si>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</si>
  <si>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Services and Other Operating Expenditures</t>
  </si>
  <si>
    <t>Travel and Conferences</t>
  </si>
  <si>
    <t>Dues and Memberships</t>
  </si>
  <si>
    <t>Insurance</t>
  </si>
  <si>
    <t>5400</t>
  </si>
  <si>
    <t>Operations and Housekeeping Services</t>
  </si>
  <si>
    <t>Rentals, Leases, Repairs, and Noncap. Improvements</t>
  </si>
  <si>
    <t>Professional/Consulting Services and Operating Expend.</t>
  </si>
  <si>
    <t>Communications</t>
  </si>
  <si>
    <t xml:space="preserve">          Total, Services and Other Operating Expenditures</t>
  </si>
  <si>
    <t xml:space="preserve">          </t>
  </si>
  <si>
    <t>6.</t>
  </si>
  <si>
    <t>Capital Outlay</t>
  </si>
  <si>
    <t xml:space="preserve">(Objects 6100-6170, 6200-6500 for modified </t>
  </si>
  <si>
    <t xml:space="preserve"> accrual basis only)</t>
  </si>
  <si>
    <r>
      <t xml:space="preserve">Land and Land Improvements </t>
    </r>
    <r>
      <rPr>
        <sz val="9"/>
        <color indexed="8"/>
        <rFont val="Arial"/>
        <family val="2"/>
      </rPr>
      <t/>
    </r>
  </si>
  <si>
    <t>6100-6170</t>
  </si>
  <si>
    <t>Buildings and Improvements of Buildings</t>
  </si>
  <si>
    <t>Books and Media for New School Libraries or Major</t>
  </si>
  <si>
    <t xml:space="preserve">     Expansion of School Libraries </t>
  </si>
  <si>
    <t xml:space="preserve">Equipment </t>
  </si>
  <si>
    <t xml:space="preserve">Equipment Replacement </t>
  </si>
  <si>
    <r>
      <t xml:space="preserve">Depreciation Expense </t>
    </r>
    <r>
      <rPr>
        <i/>
        <sz val="9"/>
        <color indexed="8"/>
        <rFont val="Arial"/>
        <family val="2"/>
      </rPr>
      <t>(for accrual basis only)</t>
    </r>
  </si>
  <si>
    <t xml:space="preserve">          Total, Capital Outlay</t>
  </si>
  <si>
    <t>7.</t>
  </si>
  <si>
    <t xml:space="preserve">Other Outgo </t>
  </si>
  <si>
    <t>Tuition to Other Schools</t>
  </si>
  <si>
    <t>7110-7143</t>
  </si>
  <si>
    <t>Transfers of Pass-Through Revenues to Other LEAs</t>
  </si>
  <si>
    <t>7211-7213</t>
  </si>
  <si>
    <t>Transfers of Apportionments to Other LEAs - Spec. Ed.</t>
  </si>
  <si>
    <t>7221-7223SE</t>
  </si>
  <si>
    <t>Transfers of Apportionments to Other LEAs - All Other</t>
  </si>
  <si>
    <t>7221-7223AO</t>
  </si>
  <si>
    <t>All Other Transfers</t>
  </si>
  <si>
    <t>7280-7299</t>
  </si>
  <si>
    <t>Debt Service:</t>
  </si>
  <si>
    <t xml:space="preserve">     Interest </t>
  </si>
  <si>
    <r>
      <t xml:space="preserve">     Principal </t>
    </r>
    <r>
      <rPr>
        <sz val="9"/>
        <color indexed="8"/>
        <rFont val="Arial"/>
        <family val="2"/>
      </rPr>
      <t>(for modified accrual basis only)</t>
    </r>
  </si>
  <si>
    <t xml:space="preserve">          Total, Other Outgo</t>
  </si>
  <si>
    <t>8.</t>
  </si>
  <si>
    <t>TOTAL EXPENDITURES</t>
  </si>
  <si>
    <t>C.</t>
  </si>
  <si>
    <t>EXCESS (DEFICIENCY) OF REVENUES OVER EXPEND.</t>
  </si>
  <si>
    <t>BEFORE OTHER FINANCING SOURCES AND USES (A5-B8)</t>
  </si>
  <si>
    <t>For information regarding this report, please contact:</t>
  </si>
  <si>
    <t>For Approving Entity:</t>
  </si>
  <si>
    <t>For Charter School:</t>
  </si>
  <si>
    <t>Name</t>
  </si>
  <si>
    <t>Title</t>
  </si>
  <si>
    <t>Telephone</t>
  </si>
  <si>
    <t>E-mail address</t>
  </si>
  <si>
    <t>To the entity that approved the charter school:</t>
  </si>
  <si>
    <t>)</t>
  </si>
  <si>
    <r>
      <t xml:space="preserve">has been approved, and is hereby filed by the charter school 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42100(b).</t>
    </r>
  </si>
  <si>
    <t>Signed:</t>
  </si>
  <si>
    <t xml:space="preserve">      Date:</t>
  </si>
  <si>
    <t>Charter School Official</t>
  </si>
  <si>
    <t>(Original signature required)</t>
  </si>
  <si>
    <t>Printed
Name:</t>
  </si>
  <si>
    <t xml:space="preserve">       Title:</t>
  </si>
  <si>
    <r>
      <t xml:space="preserve">is hereby filed with the County Superintendent 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42100(a).</t>
    </r>
  </si>
  <si>
    <t>Authorized Representative of
Charter Approving Entity</t>
  </si>
  <si>
    <t>To the Superintendent of Public Instruction:</t>
  </si>
  <si>
    <t>County Superintendent/Designee</t>
  </si>
  <si>
    <t>Charter School Certification</t>
  </si>
  <si>
    <r>
      <t xml:space="preserve">verified for mathematical accuracy by the County Superintendent of Schools pursuant to </t>
    </r>
    <r>
      <rPr>
        <i/>
        <sz val="10.5"/>
        <rFont val="Arial"/>
        <family val="2"/>
      </rPr>
      <t>Education Code</t>
    </r>
    <r>
      <rPr>
        <sz val="10.5"/>
        <rFont val="Arial"/>
        <family val="2"/>
      </rPr>
      <t xml:space="preserve"> Section 42100(a).</t>
    </r>
  </si>
  <si>
    <t>x</t>
  </si>
  <si>
    <t>Adopted Budget</t>
  </si>
  <si>
    <t>Remaining Budget</t>
  </si>
  <si>
    <t>%</t>
  </si>
  <si>
    <t>D.</t>
  </si>
  <si>
    <t>OTHER FINANCING SOURCES / USES</t>
  </si>
  <si>
    <t>Other Sources</t>
  </si>
  <si>
    <t>8930-8979</t>
  </si>
  <si>
    <t>Less:  Other Uses</t>
  </si>
  <si>
    <t>7630-7699</t>
  </si>
  <si>
    <t>Contributions Between Unrestricted and Restricted Accounts</t>
  </si>
  <si>
    <t>(must net to zero)</t>
  </si>
  <si>
    <t>8980-8999</t>
  </si>
  <si>
    <t>TOTAL OTHER FINANCING SOURCES / USES</t>
  </si>
  <si>
    <t>E.</t>
  </si>
  <si>
    <t xml:space="preserve">NET INCREASE (DECREASE) IN FUND BALANCE (C + D4) </t>
  </si>
  <si>
    <t>F.</t>
  </si>
  <si>
    <t>FUND BALANCE, RESERVES</t>
  </si>
  <si>
    <t>Beginning Fund Balance</t>
  </si>
  <si>
    <t>a.</t>
  </si>
  <si>
    <t>As of July 1</t>
  </si>
  <si>
    <t>b.</t>
  </si>
  <si>
    <t>Adjustments/Restatements to Beginning Balance</t>
  </si>
  <si>
    <t>9793, 9795</t>
  </si>
  <si>
    <t>c.</t>
  </si>
  <si>
    <t>Adjusted Beginning Balance</t>
  </si>
  <si>
    <t>Components of Ending Fund Balance (Optional):</t>
  </si>
  <si>
    <t xml:space="preserve">Reserve for Revolving Cash (equals object 9130) </t>
  </si>
  <si>
    <t>Reserve for Stores (equals object 9320)</t>
  </si>
  <si>
    <t>Reserve for Prepaid Expenditures (equals object 9330)</t>
  </si>
  <si>
    <t>Reserve for All Others</t>
  </si>
  <si>
    <t>General Reserve</t>
  </si>
  <si>
    <t>Legally Restricted Balance</t>
  </si>
  <si>
    <t>Designated for Economic Uncertainties</t>
  </si>
  <si>
    <t>Other Designations</t>
  </si>
  <si>
    <t>9775, 9780</t>
  </si>
  <si>
    <t>Undesignated / Unappropriated Amount</t>
  </si>
  <si>
    <t>G.</t>
  </si>
  <si>
    <t>ASSETS</t>
  </si>
  <si>
    <t>Cash</t>
  </si>
  <si>
    <t>In County Treasury</t>
  </si>
  <si>
    <t>Fair Value Adjustment to Cash in County Treasury</t>
  </si>
  <si>
    <t>In Banks</t>
  </si>
  <si>
    <t xml:space="preserve">In Revolving Fund </t>
  </si>
  <si>
    <t>With Fiscal Agent</t>
  </si>
  <si>
    <t>Collections Awaiting Deposit</t>
  </si>
  <si>
    <t>Investments</t>
  </si>
  <si>
    <t>Accounts Receivable</t>
  </si>
  <si>
    <t>Due from Grantor Government</t>
  </si>
  <si>
    <t>Stores</t>
  </si>
  <si>
    <t>Prepaid Expenditures (Expenses)</t>
  </si>
  <si>
    <t>Other Current Assets</t>
  </si>
  <si>
    <t>Capital Assets (for accrual basis only)</t>
  </si>
  <si>
    <t>9400-9499</t>
  </si>
  <si>
    <t>9.</t>
  </si>
  <si>
    <t>TOTAL ASSETS</t>
  </si>
  <si>
    <t>H.</t>
  </si>
  <si>
    <t>LIABILITIES</t>
  </si>
  <si>
    <t>Accounts Payable</t>
  </si>
  <si>
    <t>Due to Grantor Government</t>
  </si>
  <si>
    <t>Current Loans</t>
  </si>
  <si>
    <t>Deferred Revenue</t>
  </si>
  <si>
    <t>Long-Term Liabilities (for accrual basis only)</t>
  </si>
  <si>
    <t>9660-9669</t>
  </si>
  <si>
    <t>TOTAL LIABILITIES</t>
  </si>
  <si>
    <t>I.</t>
  </si>
  <si>
    <t>FUND BALANCE</t>
  </si>
  <si>
    <t>Ending Fund Balance, June 30 (G9-H6)</t>
  </si>
  <si>
    <t>(must agree with Line F2)</t>
  </si>
  <si>
    <t xml:space="preserve">NOTE:   IF YOUR CHARTER SCHOOL RECEIVED FEDERAL FUNDING, AS REPORTED IN SECTION A.2, </t>
  </si>
  <si>
    <t>THE FOLLOWING ADDITIONAL INFORMATION MUST BE PROVIDED:</t>
  </si>
  <si>
    <t>Federal Revenues Used for Capital Outlay and Debt Service:</t>
  </si>
  <si>
    <t>Included in the Capital Outlay and Debt Service expenditures reported in sections B.6 and B.7 are</t>
  </si>
  <si>
    <t xml:space="preserve">the following amounts paid out of federal funds: </t>
  </si>
  <si>
    <t xml:space="preserve">                         Federal Program Name (Indicate if NONE)                                 </t>
  </si>
  <si>
    <t xml:space="preserve">   Capital Outlay   </t>
  </si>
  <si>
    <t xml:space="preserve">   Debt Service   </t>
  </si>
  <si>
    <t xml:space="preserve">          Total          </t>
  </si>
  <si>
    <t>None</t>
  </si>
  <si>
    <t>$</t>
  </si>
  <si>
    <t>d.</t>
  </si>
  <si>
    <t>e.</t>
  </si>
  <si>
    <t>f.</t>
  </si>
  <si>
    <t>g.</t>
  </si>
  <si>
    <t>h.</t>
  </si>
  <si>
    <t>i.</t>
  </si>
  <si>
    <t>j.</t>
  </si>
  <si>
    <t>TOTAL</t>
  </si>
  <si>
    <t>Community Services Expenditures:</t>
  </si>
  <si>
    <t>Included in the expenditures reported in Section B are the following amounts expended</t>
  </si>
  <si>
    <t>for Community Services paid out of state and local funds:</t>
  </si>
  <si>
    <t>Amount</t>
  </si>
  <si>
    <t xml:space="preserve">Objects of Expenditures    </t>
  </si>
  <si>
    <t xml:space="preserve">      Enter "0.00" if none      </t>
  </si>
  <si>
    <t>Certificated Personnel Salaries</t>
  </si>
  <si>
    <t>Non-certificated Personnel Salaries</t>
  </si>
  <si>
    <t>TOTAL COMMUNITY SERVICES EXPENDITURES</t>
  </si>
  <si>
    <t>Ending Fund Balance, Oct 31 (E + F.1.c.)</t>
  </si>
  <si>
    <t>Education Protection Account</t>
  </si>
  <si>
    <t>Scott Warner</t>
  </si>
  <si>
    <t>Business Manager</t>
  </si>
  <si>
    <t>949-514-2839</t>
  </si>
  <si>
    <t>swarner@csmci.com</t>
  </si>
  <si>
    <t>Director</t>
  </si>
  <si>
    <t>To the SBE:</t>
  </si>
  <si>
    <t>Three Rivers Charter School</t>
  </si>
  <si>
    <t>23-65565-0123737</t>
  </si>
  <si>
    <t>Fort Bragg Unified School District</t>
  </si>
  <si>
    <t>Mendocino</t>
  </si>
  <si>
    <t>1275</t>
  </si>
  <si>
    <t>Roger Coy</t>
  </si>
  <si>
    <t>July 1, 2017 to June 30, 2018</t>
  </si>
  <si>
    <t>Projected 2017-18</t>
  </si>
  <si>
    <t>CHARTER SCHOOL SECOND INTERIM</t>
  </si>
  <si>
    <t>2017-18 CHARTER SCHOOL SECOND INTERIM FINANCIAL REPORT -- ALTERNATIVE FORM:  This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</si>
</sst>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u/>
      <sz val="10"/>
      <color indexed="12"/>
      <name val="Arial"/>
      <family val="2"/>
    </font>
    <font>
      <u/>
      <sz val="11"/>
      <color indexed="8"/>
      <name val="Arial"/>
      <family val="2"/>
    </font>
    <font>
      <u val="double"/>
      <sz val="11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NumberFormat="1" applyFont="1" applyProtection="1"/>
    <xf numFmtId="3" fontId="2" fillId="0" borderId="0" xfId="0" applyNumberFormat="1" applyFont="1" applyProtection="1"/>
    <xf numFmtId="0" fontId="2" fillId="0" borderId="0" xfId="0" applyFont="1" applyProtection="1"/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right"/>
    </xf>
    <xf numFmtId="0" fontId="6" fillId="0" borderId="0" xfId="0" quotePrefix="1" applyNumberFormat="1" applyFont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0" fontId="6" fillId="0" borderId="1" xfId="0" applyNumberFormat="1" applyFont="1" applyBorder="1" applyAlignment="1" applyProtection="1">
      <alignment horizontal="right"/>
      <protection locked="0"/>
    </xf>
    <xf numFmtId="0" fontId="7" fillId="0" borderId="0" xfId="0" quotePrefix="1" applyNumberFormat="1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NumberFormat="1" applyFont="1" applyBorder="1" applyProtection="1"/>
    <xf numFmtId="49" fontId="2" fillId="2" borderId="2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 applyProtection="1">
      <alignment horizontal="left"/>
    </xf>
    <xf numFmtId="49" fontId="6" fillId="0" borderId="4" xfId="0" applyNumberFormat="1" applyFont="1" applyBorder="1" applyProtection="1"/>
    <xf numFmtId="49" fontId="6" fillId="0" borderId="0" xfId="0" applyNumberFormat="1" applyFont="1" applyBorder="1" applyProtection="1"/>
    <xf numFmtId="49" fontId="2" fillId="0" borderId="0" xfId="0" applyNumberFormat="1" applyFont="1" applyBorder="1" applyProtection="1"/>
    <xf numFmtId="0" fontId="2" fillId="0" borderId="5" xfId="0" applyFont="1" applyFill="1" applyBorder="1" applyAlignment="1" applyProtection="1">
      <alignment horizontal="center"/>
    </xf>
    <xf numFmtId="49" fontId="6" fillId="0" borderId="0" xfId="0" quotePrefix="1" applyNumberFormat="1" applyFont="1" applyBorder="1" applyProtection="1"/>
    <xf numFmtId="0" fontId="2" fillId="0" borderId="6" xfId="0" applyFont="1" applyFill="1" applyBorder="1" applyAlignment="1" applyProtection="1">
      <alignment horizontal="center"/>
    </xf>
    <xf numFmtId="0" fontId="2" fillId="0" borderId="7" xfId="0" quotePrefix="1" applyFont="1" applyFill="1" applyBorder="1" applyAlignment="1" applyProtection="1">
      <alignment horizontal="center"/>
    </xf>
    <xf numFmtId="0" fontId="2" fillId="0" borderId="6" xfId="0" quotePrefix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8" xfId="0" applyFont="1" applyFill="1" applyBorder="1" applyAlignment="1" applyProtection="1">
      <alignment horizontal="center"/>
    </xf>
    <xf numFmtId="49" fontId="2" fillId="0" borderId="4" xfId="0" applyNumberFormat="1" applyFont="1" applyBorder="1" applyProtection="1"/>
    <xf numFmtId="0" fontId="2" fillId="0" borderId="7" xfId="0" applyFont="1" applyFill="1" applyBorder="1" applyAlignment="1" applyProtection="1">
      <alignment horizontal="center"/>
    </xf>
    <xf numFmtId="49" fontId="2" fillId="0" borderId="0" xfId="0" quotePrefix="1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center"/>
    </xf>
    <xf numFmtId="49" fontId="6" fillId="0" borderId="0" xfId="0" quotePrefix="1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6" fillId="0" borderId="4" xfId="0" quotePrefix="1" applyNumberFormat="1" applyFont="1" applyBorder="1" applyProtection="1"/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4" xfId="0" applyNumberFormat="1" applyFont="1" applyBorder="1" applyProtection="1"/>
    <xf numFmtId="0" fontId="6" fillId="0" borderId="0" xfId="0" quotePrefix="1" applyNumberFormat="1" applyFont="1" applyBorder="1" applyProtection="1"/>
    <xf numFmtId="49" fontId="2" fillId="0" borderId="9" xfId="0" applyNumberFormat="1" applyFont="1" applyBorder="1" applyProtection="1"/>
    <xf numFmtId="49" fontId="2" fillId="0" borderId="10" xfId="0" applyNumberFormat="1" applyFont="1" applyBorder="1" applyProtection="1"/>
    <xf numFmtId="0" fontId="2" fillId="0" borderId="11" xfId="0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wrapText="1"/>
    </xf>
    <xf numFmtId="0" fontId="2" fillId="0" borderId="6" xfId="0" quotePrefix="1" applyFont="1" applyBorder="1" applyAlignment="1" applyProtection="1">
      <alignment horizontal="center"/>
    </xf>
    <xf numFmtId="0" fontId="2" fillId="0" borderId="7" xfId="0" quotePrefix="1" applyFont="1" applyBorder="1" applyAlignment="1" applyProtection="1">
      <alignment horizontal="center"/>
    </xf>
    <xf numFmtId="0" fontId="2" fillId="0" borderId="8" xfId="0" quotePrefix="1" applyFont="1" applyBorder="1" applyAlignment="1" applyProtection="1">
      <alignment horizontal="center"/>
    </xf>
    <xf numFmtId="0" fontId="6" fillId="0" borderId="0" xfId="0" quotePrefix="1" applyFont="1" applyBorder="1" applyProtection="1"/>
    <xf numFmtId="49" fontId="9" fillId="0" borderId="0" xfId="0" quotePrefix="1" applyNumberFormat="1" applyFont="1" applyBorder="1" applyAlignment="1" applyProtection="1">
      <alignment horizontal="left"/>
    </xf>
    <xf numFmtId="49" fontId="10" fillId="0" borderId="0" xfId="0" quotePrefix="1" applyNumberFormat="1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center"/>
    </xf>
    <xf numFmtId="3" fontId="9" fillId="0" borderId="0" xfId="0" applyNumberFormat="1" applyFont="1" applyProtection="1"/>
    <xf numFmtId="49" fontId="6" fillId="2" borderId="12" xfId="0" applyNumberFormat="1" applyFont="1" applyFill="1" applyBorder="1" applyAlignment="1" applyProtection="1">
      <alignment horizontal="center" wrapText="1"/>
    </xf>
    <xf numFmtId="0" fontId="12" fillId="0" borderId="0" xfId="3" applyFont="1" applyAlignment="1" applyProtection="1">
      <alignment horizontal="centerContinuous"/>
    </xf>
    <xf numFmtId="0" fontId="13" fillId="0" borderId="0" xfId="3" applyFont="1" applyAlignment="1" applyProtection="1">
      <alignment horizontal="centerContinuous"/>
    </xf>
    <xf numFmtId="0" fontId="12" fillId="0" borderId="0" xfId="3" applyFont="1" applyAlignment="1" applyProtection="1"/>
    <xf numFmtId="0" fontId="12" fillId="0" borderId="0" xfId="3" applyFont="1" applyProtection="1"/>
    <xf numFmtId="0" fontId="13" fillId="0" borderId="0" xfId="3" applyFont="1" applyAlignment="1" applyProtection="1">
      <alignment horizontal="left"/>
    </xf>
    <xf numFmtId="0" fontId="13" fillId="0" borderId="0" xfId="3" applyFont="1" applyAlignment="1" applyProtection="1">
      <alignment horizontal="center"/>
    </xf>
    <xf numFmtId="0" fontId="8" fillId="0" borderId="0" xfId="0" applyFont="1" applyAlignment="1" applyProtection="1"/>
    <xf numFmtId="0" fontId="8" fillId="0" borderId="0" xfId="0" applyFont="1" applyProtection="1"/>
    <xf numFmtId="0" fontId="4" fillId="0" borderId="0" xfId="0" applyFont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right"/>
    </xf>
    <xf numFmtId="0" fontId="12" fillId="0" borderId="0" xfId="3" applyFont="1" applyBorder="1" applyAlignment="1" applyProtection="1"/>
    <xf numFmtId="0" fontId="12" fillId="0" borderId="0" xfId="3" applyFont="1" applyBorder="1" applyProtection="1"/>
    <xf numFmtId="0" fontId="4" fillId="0" borderId="13" xfId="3" applyFont="1" applyBorder="1" applyAlignment="1" applyProtection="1"/>
    <xf numFmtId="0" fontId="4" fillId="0" borderId="14" xfId="3" quotePrefix="1" applyFont="1" applyBorder="1" applyAlignment="1" applyProtection="1">
      <alignment horizontal="left"/>
    </xf>
    <xf numFmtId="0" fontId="4" fillId="0" borderId="14" xfId="0" applyFont="1" applyBorder="1" applyAlignment="1" applyProtection="1"/>
    <xf numFmtId="0" fontId="14" fillId="0" borderId="0" xfId="3" applyFont="1" applyAlignment="1" applyProtection="1"/>
    <xf numFmtId="0" fontId="4" fillId="0" borderId="0" xfId="0" applyFont="1" applyAlignment="1" applyProtection="1"/>
    <xf numFmtId="0" fontId="4" fillId="0" borderId="0" xfId="3" applyFont="1" applyAlignment="1" applyProtection="1"/>
    <xf numFmtId="0" fontId="4" fillId="0" borderId="0" xfId="3" applyFont="1" applyBorder="1" applyAlignment="1" applyProtection="1"/>
    <xf numFmtId="0" fontId="4" fillId="0" borderId="15" xfId="3" applyFont="1" applyBorder="1" applyAlignment="1" applyProtection="1"/>
    <xf numFmtId="0" fontId="4" fillId="0" borderId="15" xfId="0" applyFont="1" applyBorder="1" applyAlignment="1" applyProtection="1"/>
    <xf numFmtId="0" fontId="4" fillId="0" borderId="0" xfId="3" applyFont="1" applyProtection="1"/>
    <xf numFmtId="0" fontId="4" fillId="0" borderId="14" xfId="3" applyFont="1" applyBorder="1" applyAlignment="1" applyProtection="1"/>
    <xf numFmtId="0" fontId="12" fillId="0" borderId="10" xfId="3" applyFont="1" applyBorder="1" applyAlignment="1" applyProtection="1">
      <alignment horizontal="center"/>
      <protection locked="0"/>
    </xf>
    <xf numFmtId="0" fontId="4" fillId="0" borderId="0" xfId="3" quotePrefix="1" applyFont="1" applyAlignment="1" applyProtection="1">
      <alignment horizontal="left"/>
    </xf>
    <xf numFmtId="0" fontId="12" fillId="0" borderId="0" xfId="3" applyFont="1" applyAlignment="1" applyProtection="1">
      <alignment horizontal="centerContinuous" vertical="top"/>
    </xf>
    <xf numFmtId="0" fontId="4" fillId="0" borderId="0" xfId="0" applyFont="1" applyAlignment="1" applyProtection="1">
      <alignment horizontal="centerContinuous" vertical="top"/>
    </xf>
    <xf numFmtId="0" fontId="4" fillId="0" borderId="0" xfId="3" applyFont="1" applyAlignment="1" applyProtection="1">
      <alignment wrapText="1"/>
    </xf>
    <xf numFmtId="0" fontId="4" fillId="0" borderId="16" xfId="3" applyFont="1" applyBorder="1" applyAlignment="1" applyProtection="1"/>
    <xf numFmtId="0" fontId="4" fillId="0" borderId="16" xfId="3" applyFont="1" applyBorder="1" applyProtection="1"/>
    <xf numFmtId="0" fontId="4" fillId="0" borderId="17" xfId="3" applyFont="1" applyBorder="1" applyAlignment="1" applyProtection="1"/>
    <xf numFmtId="0" fontId="4" fillId="0" borderId="17" xfId="0" applyFont="1" applyBorder="1" applyAlignment="1" applyProtection="1"/>
    <xf numFmtId="0" fontId="12" fillId="0" borderId="15" xfId="3" applyFont="1" applyBorder="1" applyAlignment="1" applyProtection="1">
      <alignment horizontal="centerContinuous" wrapText="1"/>
    </xf>
    <xf numFmtId="0" fontId="12" fillId="0" borderId="15" xfId="3" applyFont="1" applyBorder="1" applyAlignment="1" applyProtection="1"/>
    <xf numFmtId="0" fontId="12" fillId="0" borderId="0" xfId="3" applyFont="1" applyAlignment="1" applyProtection="1">
      <alignment horizontal="center"/>
    </xf>
    <xf numFmtId="0" fontId="12" fillId="0" borderId="13" xfId="3" applyFont="1" applyBorder="1" applyAlignment="1" applyProtection="1"/>
    <xf numFmtId="0" fontId="12" fillId="0" borderId="13" xfId="3" applyFont="1" applyBorder="1" applyProtection="1"/>
    <xf numFmtId="0" fontId="12" fillId="0" borderId="0" xfId="3" applyFont="1" applyAlignment="1"/>
    <xf numFmtId="0" fontId="12" fillId="0" borderId="0" xfId="3" applyFont="1"/>
    <xf numFmtId="0" fontId="16" fillId="0" borderId="0" xfId="3" applyFont="1" applyAlignment="1" applyProtection="1"/>
    <xf numFmtId="49" fontId="6" fillId="2" borderId="18" xfId="0" applyNumberFormat="1" applyFont="1" applyFill="1" applyBorder="1" applyAlignment="1" applyProtection="1">
      <alignment horizontal="left"/>
    </xf>
    <xf numFmtId="49" fontId="6" fillId="2" borderId="18" xfId="0" applyNumberFormat="1" applyFont="1" applyFill="1" applyBorder="1" applyAlignment="1" applyProtection="1">
      <alignment horizontal="center" wrapText="1"/>
    </xf>
    <xf numFmtId="4" fontId="6" fillId="2" borderId="18" xfId="0" applyNumberFormat="1" applyFont="1" applyFill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3" xfId="0" applyBorder="1" applyAlignment="1" applyProtection="1"/>
    <xf numFmtId="49" fontId="2" fillId="0" borderId="10" xfId="0" quotePrefix="1" applyNumberFormat="1" applyFont="1" applyBorder="1" applyAlignment="1" applyProtection="1">
      <alignment horizontal="left"/>
    </xf>
    <xf numFmtId="49" fontId="2" fillId="0" borderId="3" xfId="0" quotePrefix="1" applyNumberFormat="1" applyFont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6" fillId="2" borderId="18" xfId="0" applyFont="1" applyFill="1" applyBorder="1" applyAlignment="1" applyProtection="1">
      <alignment horizontal="center" wrapText="1"/>
    </xf>
    <xf numFmtId="9" fontId="2" fillId="0" borderId="0" xfId="4" applyFont="1" applyProtection="1"/>
    <xf numFmtId="9" fontId="6" fillId="2" borderId="18" xfId="4" applyFont="1" applyFill="1" applyBorder="1" applyAlignment="1" applyProtection="1">
      <alignment horizontal="center" wrapText="1"/>
    </xf>
    <xf numFmtId="9" fontId="2" fillId="0" borderId="19" xfId="4" applyFont="1" applyBorder="1" applyProtection="1"/>
    <xf numFmtId="9" fontId="2" fillId="0" borderId="19" xfId="4" applyFont="1" applyFill="1" applyBorder="1" applyProtection="1"/>
    <xf numFmtId="9" fontId="2" fillId="3" borderId="19" xfId="4" applyFont="1" applyFill="1" applyBorder="1" applyProtection="1"/>
    <xf numFmtId="9" fontId="0" fillId="0" borderId="0" xfId="4" applyFont="1"/>
    <xf numFmtId="38" fontId="2" fillId="4" borderId="5" xfId="0" applyNumberFormat="1" applyFont="1" applyFill="1" applyBorder="1" applyAlignment="1" applyProtection="1">
      <alignment horizontal="right"/>
    </xf>
    <xf numFmtId="38" fontId="2" fillId="2" borderId="20" xfId="0" applyNumberFormat="1" applyFont="1" applyFill="1" applyBorder="1" applyAlignment="1" applyProtection="1">
      <alignment horizontal="right"/>
    </xf>
    <xf numFmtId="38" fontId="2" fillId="3" borderId="21" xfId="0" applyNumberFormat="1" applyFont="1" applyFill="1" applyBorder="1" applyProtection="1"/>
    <xf numFmtId="9" fontId="2" fillId="3" borderId="22" xfId="4" applyFont="1" applyFill="1" applyBorder="1" applyProtection="1"/>
    <xf numFmtId="39" fontId="6" fillId="2" borderId="22" xfId="0" applyNumberFormat="1" applyFont="1" applyFill="1" applyBorder="1" applyAlignment="1" applyProtection="1">
      <alignment horizontal="center"/>
    </xf>
    <xf numFmtId="0" fontId="2" fillId="0" borderId="23" xfId="0" applyFont="1" applyBorder="1" applyProtection="1"/>
    <xf numFmtId="38" fontId="2" fillId="0" borderId="24" xfId="0" applyNumberFormat="1" applyFont="1" applyBorder="1" applyProtection="1"/>
    <xf numFmtId="38" fontId="2" fillId="0" borderId="24" xfId="0" applyNumberFormat="1" applyFont="1" applyFill="1" applyBorder="1" applyProtection="1"/>
    <xf numFmtId="38" fontId="2" fillId="3" borderId="24" xfId="0" applyNumberFormat="1" applyFont="1" applyFill="1" applyBorder="1" applyProtection="1"/>
    <xf numFmtId="38" fontId="2" fillId="5" borderId="25" xfId="0" applyNumberFormat="1" applyFont="1" applyFill="1" applyBorder="1" applyProtection="1"/>
    <xf numFmtId="38" fontId="2" fillId="3" borderId="26" xfId="0" applyNumberFormat="1" applyFont="1" applyFill="1" applyBorder="1" applyProtection="1"/>
    <xf numFmtId="38" fontId="2" fillId="3" borderId="27" xfId="0" applyNumberFormat="1" applyFont="1" applyFill="1" applyBorder="1" applyProtection="1"/>
    <xf numFmtId="38" fontId="2" fillId="3" borderId="28" xfId="0" applyNumberFormat="1" applyFont="1" applyFill="1" applyBorder="1" applyProtection="1"/>
    <xf numFmtId="38" fontId="6" fillId="2" borderId="26" xfId="0" applyNumberFormat="1" applyFont="1" applyFill="1" applyBorder="1" applyAlignment="1" applyProtection="1">
      <alignment horizontal="center" wrapText="1"/>
    </xf>
    <xf numFmtId="49" fontId="6" fillId="0" borderId="29" xfId="0" applyNumberFormat="1" applyFont="1" applyBorder="1" applyProtection="1"/>
    <xf numFmtId="49" fontId="6" fillId="0" borderId="30" xfId="0" applyNumberFormat="1" applyFont="1" applyBorder="1" applyProtection="1"/>
    <xf numFmtId="0" fontId="2" fillId="0" borderId="30" xfId="0" applyFont="1" applyBorder="1" applyProtection="1"/>
    <xf numFmtId="49" fontId="2" fillId="0" borderId="30" xfId="0" applyNumberFormat="1" applyFont="1" applyBorder="1" applyProtection="1"/>
    <xf numFmtId="0" fontId="2" fillId="0" borderId="31" xfId="0" applyFont="1" applyFill="1" applyBorder="1" applyAlignment="1" applyProtection="1">
      <alignment horizontal="center"/>
    </xf>
    <xf numFmtId="9" fontId="2" fillId="3" borderId="32" xfId="4" applyFont="1" applyFill="1" applyBorder="1" applyProtection="1"/>
    <xf numFmtId="9" fontId="2" fillId="3" borderId="33" xfId="4" applyFont="1" applyFill="1" applyBorder="1" applyProtection="1"/>
    <xf numFmtId="0" fontId="2" fillId="4" borderId="5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3" fontId="2" fillId="0" borderId="7" xfId="0" quotePrefix="1" applyNumberFormat="1" applyFont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5" xfId="0" applyFont="1" applyFill="1" applyBorder="1" applyAlignment="1" applyProtection="1">
      <alignment horizontal="center"/>
    </xf>
    <xf numFmtId="0" fontId="2" fillId="0" borderId="9" xfId="0" applyNumberFormat="1" applyFont="1" applyBorder="1" applyProtection="1"/>
    <xf numFmtId="0" fontId="2" fillId="0" borderId="10" xfId="0" applyNumberFormat="1" applyFont="1" applyBorder="1" applyProtection="1"/>
    <xf numFmtId="0" fontId="2" fillId="0" borderId="34" xfId="0" applyNumberFormat="1" applyFont="1" applyBorder="1" applyProtection="1"/>
    <xf numFmtId="0" fontId="2" fillId="0" borderId="35" xfId="0" applyFont="1" applyBorder="1" applyAlignment="1" applyProtection="1">
      <alignment horizontal="center"/>
    </xf>
    <xf numFmtId="0" fontId="6" fillId="0" borderId="4" xfId="0" applyNumberFormat="1" applyFont="1" applyBorder="1" applyProtection="1"/>
    <xf numFmtId="0" fontId="6" fillId="0" borderId="0" xfId="0" quotePrefix="1" applyNumberFormat="1" applyFont="1" applyBorder="1" applyAlignment="1" applyProtection="1"/>
    <xf numFmtId="0" fontId="2" fillId="0" borderId="0" xfId="0" quotePrefix="1" applyNumberFormat="1" applyFont="1" applyBorder="1" applyAlignment="1" applyProtection="1">
      <alignment horizontal="left"/>
    </xf>
    <xf numFmtId="0" fontId="10" fillId="0" borderId="0" xfId="0" quotePrefix="1" applyNumberFormat="1" applyFont="1" applyBorder="1" applyAlignment="1" applyProtection="1">
      <alignment horizontal="left"/>
    </xf>
    <xf numFmtId="0" fontId="10" fillId="0" borderId="7" xfId="0" quotePrefix="1" applyFont="1" applyBorder="1" applyAlignment="1" applyProtection="1">
      <alignment horizontal="center"/>
    </xf>
    <xf numFmtId="0" fontId="10" fillId="0" borderId="0" xfId="0" applyNumberFormat="1" applyFont="1" applyBorder="1" applyProtection="1"/>
    <xf numFmtId="0" fontId="6" fillId="0" borderId="4" xfId="0" quotePrefix="1" applyNumberFormat="1" applyFont="1" applyBorder="1" applyProtection="1"/>
    <xf numFmtId="0" fontId="2" fillId="0" borderId="6" xfId="0" applyNumberFormat="1" applyFont="1" applyBorder="1" applyAlignment="1" applyProtection="1">
      <alignment horizontal="center"/>
    </xf>
    <xf numFmtId="0" fontId="2" fillId="0" borderId="7" xfId="0" applyNumberFormat="1" applyFont="1" applyBorder="1" applyAlignment="1" applyProtection="1">
      <alignment horizontal="center"/>
    </xf>
    <xf numFmtId="0" fontId="10" fillId="0" borderId="7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/>
    </xf>
    <xf numFmtId="0" fontId="6" fillId="0" borderId="0" xfId="0" applyNumberFormat="1" applyFont="1" applyProtection="1"/>
    <xf numFmtId="0" fontId="6" fillId="0" borderId="0" xfId="0" applyFont="1" applyProtection="1"/>
    <xf numFmtId="0" fontId="19" fillId="0" borderId="0" xfId="0" applyNumberFormat="1" applyFont="1" applyProtection="1"/>
    <xf numFmtId="0" fontId="6" fillId="0" borderId="0" xfId="0" quotePrefix="1" applyNumberFormat="1" applyFont="1" applyProtection="1"/>
    <xf numFmtId="0" fontId="2" fillId="0" borderId="0" xfId="0" quotePrefix="1" applyNumberFormat="1" applyFont="1" applyAlignment="1" applyProtection="1">
      <alignment horizontal="left"/>
    </xf>
    <xf numFmtId="0" fontId="4" fillId="0" borderId="0" xfId="0" applyFont="1" applyProtection="1"/>
    <xf numFmtId="0" fontId="2" fillId="0" borderId="30" xfId="0" quotePrefix="1" applyNumberFormat="1" applyFont="1" applyBorder="1" applyAlignment="1" applyProtection="1">
      <alignment horizontal="center"/>
    </xf>
    <xf numFmtId="0" fontId="19" fillId="0" borderId="0" xfId="0" applyNumberFormat="1" applyFont="1" applyBorder="1" applyAlignment="1" applyProtection="1">
      <alignment horizontal="center"/>
    </xf>
    <xf numFmtId="0" fontId="2" fillId="0" borderId="10" xfId="0" applyNumberFormat="1" applyFont="1" applyBorder="1" applyProtection="1">
      <protection locked="0"/>
    </xf>
    <xf numFmtId="0" fontId="2" fillId="0" borderId="0" xfId="0" applyNumberFormat="1" applyFont="1" applyAlignment="1" applyProtection="1">
      <alignment horizontal="right"/>
    </xf>
    <xf numFmtId="0" fontId="2" fillId="0" borderId="0" xfId="0" quotePrefix="1" applyNumberFormat="1" applyFont="1" applyProtection="1"/>
    <xf numFmtId="0" fontId="2" fillId="0" borderId="30" xfId="0" applyNumberFormat="1" applyFont="1" applyBorder="1" applyAlignment="1" applyProtection="1">
      <alignment horizontal="center"/>
    </xf>
    <xf numFmtId="0" fontId="19" fillId="0" borderId="0" xfId="0" applyNumberFormat="1" applyFont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6" fillId="2" borderId="36" xfId="0" applyFont="1" applyFill="1" applyBorder="1" applyAlignment="1" applyProtection="1">
      <alignment horizontal="center" wrapText="1"/>
    </xf>
    <xf numFmtId="38" fontId="2" fillId="3" borderId="37" xfId="0" applyNumberFormat="1" applyFont="1" applyFill="1" applyBorder="1" applyProtection="1"/>
    <xf numFmtId="40" fontId="2" fillId="0" borderId="0" xfId="0" applyNumberFormat="1" applyFont="1" applyProtection="1"/>
    <xf numFmtId="40" fontId="0" fillId="0" borderId="0" xfId="0" applyNumberFormat="1"/>
    <xf numFmtId="40" fontId="13" fillId="0" borderId="0" xfId="1" applyNumberFormat="1" applyFont="1" applyProtection="1"/>
    <xf numFmtId="40" fontId="6" fillId="0" borderId="0" xfId="0" applyNumberFormat="1" applyFont="1" applyProtection="1"/>
    <xf numFmtId="40" fontId="2" fillId="0" borderId="0" xfId="1" applyNumberFormat="1" applyFont="1" applyProtection="1"/>
    <xf numFmtId="40" fontId="2" fillId="0" borderId="0" xfId="0" applyNumberFormat="1" applyFont="1" applyBorder="1" applyProtection="1"/>
    <xf numFmtId="40" fontId="2" fillId="0" borderId="30" xfId="0" applyNumberFormat="1" applyFont="1" applyBorder="1" applyAlignment="1" applyProtection="1">
      <alignment horizontal="center"/>
    </xf>
    <xf numFmtId="40" fontId="2" fillId="0" borderId="38" xfId="0" applyNumberFormat="1" applyFont="1" applyBorder="1" applyProtection="1"/>
    <xf numFmtId="40" fontId="2" fillId="5" borderId="0" xfId="0" applyNumberFormat="1" applyFont="1" applyFill="1" applyProtection="1"/>
    <xf numFmtId="40" fontId="2" fillId="0" borderId="10" xfId="0" applyNumberFormat="1" applyFont="1" applyBorder="1" applyProtection="1">
      <protection locked="0"/>
    </xf>
    <xf numFmtId="40" fontId="2" fillId="0" borderId="39" xfId="0" applyNumberFormat="1" applyFont="1" applyBorder="1" applyProtection="1">
      <protection locked="0"/>
    </xf>
    <xf numFmtId="40" fontId="2" fillId="3" borderId="10" xfId="0" applyNumberFormat="1" applyFont="1" applyFill="1" applyBorder="1" applyProtection="1"/>
    <xf numFmtId="40" fontId="2" fillId="0" borderId="3" xfId="0" applyNumberFormat="1" applyFont="1" applyBorder="1" applyProtection="1">
      <protection locked="0"/>
    </xf>
    <xf numFmtId="40" fontId="2" fillId="5" borderId="0" xfId="0" applyNumberFormat="1" applyFont="1" applyFill="1" applyBorder="1" applyAlignment="1" applyProtection="1">
      <alignment horizontal="center"/>
    </xf>
    <xf numFmtId="40" fontId="2" fillId="5" borderId="40" xfId="0" applyNumberFormat="1" applyFont="1" applyFill="1" applyBorder="1" applyAlignment="1" applyProtection="1">
      <alignment horizontal="center"/>
    </xf>
    <xf numFmtId="40" fontId="2" fillId="3" borderId="13" xfId="0" applyNumberFormat="1" applyFont="1" applyFill="1" applyBorder="1" applyProtection="1"/>
    <xf numFmtId="40" fontId="2" fillId="3" borderId="41" xfId="0" applyNumberFormat="1" applyFont="1" applyFill="1" applyBorder="1" applyProtection="1"/>
    <xf numFmtId="40" fontId="20" fillId="0" borderId="0" xfId="0" applyNumberFormat="1" applyFont="1" applyBorder="1" applyAlignment="1" applyProtection="1">
      <alignment horizontal="center"/>
    </xf>
    <xf numFmtId="40" fontId="2" fillId="0" borderId="0" xfId="0" applyNumberFormat="1" applyFont="1" applyAlignment="1" applyProtection="1">
      <alignment horizontal="center"/>
    </xf>
    <xf numFmtId="40" fontId="2" fillId="0" borderId="30" xfId="0" quotePrefix="1" applyNumberFormat="1" applyFont="1" applyBorder="1" applyAlignment="1" applyProtection="1">
      <alignment horizontal="center"/>
    </xf>
    <xf numFmtId="40" fontId="2" fillId="0" borderId="0" xfId="0" applyNumberFormat="1" applyFont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center"/>
      <protection locked="0"/>
    </xf>
    <xf numFmtId="38" fontId="6" fillId="2" borderId="42" xfId="0" applyNumberFormat="1" applyFont="1" applyFill="1" applyBorder="1" applyAlignment="1" applyProtection="1">
      <alignment horizontal="center" wrapText="1"/>
    </xf>
    <xf numFmtId="38" fontId="6" fillId="2" borderId="22" xfId="0" applyNumberFormat="1" applyFont="1" applyFill="1" applyBorder="1" applyAlignment="1" applyProtection="1">
      <alignment horizontal="center" wrapText="1"/>
    </xf>
    <xf numFmtId="38" fontId="2" fillId="2" borderId="43" xfId="0" applyNumberFormat="1" applyFont="1" applyFill="1" applyBorder="1" applyAlignment="1" applyProtection="1">
      <alignment horizontal="center"/>
    </xf>
    <xf numFmtId="38" fontId="2" fillId="0" borderId="44" xfId="0" applyNumberFormat="1" applyFont="1" applyBorder="1" applyAlignment="1" applyProtection="1">
      <alignment horizontal="center"/>
    </xf>
    <xf numFmtId="38" fontId="2" fillId="0" borderId="45" xfId="0" applyNumberFormat="1" applyFont="1" applyBorder="1" applyAlignment="1" applyProtection="1">
      <alignment horizontal="center"/>
    </xf>
    <xf numFmtId="38" fontId="2" fillId="0" borderId="46" xfId="0" applyNumberFormat="1" applyFont="1" applyBorder="1" applyAlignment="1" applyProtection="1">
      <alignment horizontal="center"/>
    </xf>
    <xf numFmtId="38" fontId="2" fillId="0" borderId="19" xfId="0" applyNumberFormat="1" applyFont="1" applyBorder="1" applyAlignment="1" applyProtection="1">
      <alignment horizontal="center"/>
    </xf>
    <xf numFmtId="38" fontId="2" fillId="3" borderId="42" xfId="0" applyNumberFormat="1" applyFont="1" applyFill="1" applyBorder="1" applyAlignment="1" applyProtection="1">
      <alignment horizontal="center"/>
    </xf>
    <xf numFmtId="38" fontId="2" fillId="3" borderId="22" xfId="0" applyNumberFormat="1" applyFont="1" applyFill="1" applyBorder="1" applyAlignment="1" applyProtection="1">
      <alignment horizontal="center"/>
    </xf>
    <xf numFmtId="38" fontId="2" fillId="0" borderId="47" xfId="0" applyNumberFormat="1" applyFont="1" applyBorder="1" applyAlignment="1" applyProtection="1">
      <alignment horizontal="center"/>
      <protection locked="0"/>
    </xf>
    <xf numFmtId="38" fontId="2" fillId="3" borderId="49" xfId="0" applyNumberFormat="1" applyFont="1" applyFill="1" applyBorder="1" applyAlignment="1" applyProtection="1">
      <alignment horizontal="center"/>
    </xf>
    <xf numFmtId="38" fontId="2" fillId="3" borderId="50" xfId="0" applyNumberFormat="1" applyFont="1" applyFill="1" applyBorder="1" applyAlignment="1" applyProtection="1">
      <alignment horizontal="center"/>
    </xf>
    <xf numFmtId="38" fontId="2" fillId="3" borderId="47" xfId="0" applyNumberFormat="1" applyFont="1" applyFill="1" applyBorder="1" applyAlignment="1" applyProtection="1">
      <alignment horizontal="center"/>
    </xf>
    <xf numFmtId="38" fontId="2" fillId="3" borderId="48" xfId="0" applyNumberFormat="1" applyFont="1" applyFill="1" applyBorder="1" applyAlignment="1" applyProtection="1">
      <alignment horizontal="center"/>
    </xf>
    <xf numFmtId="38" fontId="2" fillId="4" borderId="51" xfId="0" applyNumberFormat="1" applyFont="1" applyFill="1" applyBorder="1" applyAlignment="1" applyProtection="1">
      <alignment horizontal="center"/>
      <protection locked="0"/>
    </xf>
    <xf numFmtId="38" fontId="2" fillId="0" borderId="52" xfId="0" applyNumberFormat="1" applyFont="1" applyFill="1" applyBorder="1" applyAlignment="1" applyProtection="1">
      <alignment horizontal="center"/>
      <protection locked="0"/>
    </xf>
    <xf numFmtId="38" fontId="2" fillId="0" borderId="53" xfId="0" applyNumberFormat="1" applyFont="1" applyFill="1" applyBorder="1" applyAlignment="1" applyProtection="1">
      <alignment horizontal="center"/>
      <protection locked="0"/>
    </xf>
    <xf numFmtId="38" fontId="2" fillId="0" borderId="42" xfId="0" applyNumberFormat="1" applyFont="1" applyFill="1" applyBorder="1" applyAlignment="1" applyProtection="1">
      <alignment horizontal="center"/>
    </xf>
    <xf numFmtId="38" fontId="2" fillId="0" borderId="22" xfId="0" applyNumberFormat="1" applyFont="1" applyFill="1" applyBorder="1" applyAlignment="1" applyProtection="1">
      <alignment horizontal="center"/>
    </xf>
    <xf numFmtId="38" fontId="2" fillId="0" borderId="46" xfId="0" applyNumberFormat="1" applyFont="1" applyFill="1" applyBorder="1" applyAlignment="1" applyProtection="1">
      <alignment horizontal="center"/>
    </xf>
    <xf numFmtId="38" fontId="2" fillId="0" borderId="19" xfId="0" applyNumberFormat="1" applyFont="1" applyFill="1" applyBorder="1" applyAlignment="1" applyProtection="1">
      <alignment horizontal="center"/>
    </xf>
    <xf numFmtId="38" fontId="2" fillId="0" borderId="51" xfId="0" applyNumberFormat="1" applyFont="1" applyFill="1" applyBorder="1" applyAlignment="1" applyProtection="1">
      <alignment horizontal="center"/>
      <protection locked="0"/>
    </xf>
    <xf numFmtId="38" fontId="2" fillId="3" borderId="46" xfId="0" applyNumberFormat="1" applyFont="1" applyFill="1" applyBorder="1" applyAlignment="1" applyProtection="1">
      <alignment horizontal="center"/>
    </xf>
    <xf numFmtId="38" fontId="2" fillId="3" borderId="19" xfId="0" applyNumberFormat="1" applyFont="1" applyFill="1" applyBorder="1" applyAlignment="1" applyProtection="1">
      <alignment horizontal="center"/>
    </xf>
    <xf numFmtId="38" fontId="2" fillId="3" borderId="54" xfId="0" applyNumberFormat="1" applyFont="1" applyFill="1" applyBorder="1" applyAlignment="1" applyProtection="1">
      <alignment horizontal="center"/>
    </xf>
    <xf numFmtId="38" fontId="2" fillId="3" borderId="55" xfId="0" applyNumberFormat="1" applyFont="1" applyFill="1" applyBorder="1" applyAlignment="1" applyProtection="1">
      <alignment horizontal="center"/>
    </xf>
    <xf numFmtId="38" fontId="0" fillId="2" borderId="18" xfId="0" applyNumberFormat="1" applyFill="1" applyBorder="1" applyAlignment="1">
      <alignment horizontal="center"/>
    </xf>
    <xf numFmtId="38" fontId="2" fillId="0" borderId="0" xfId="0" applyNumberFormat="1" applyFont="1" applyAlignment="1" applyProtection="1">
      <alignment horizontal="center"/>
    </xf>
    <xf numFmtId="38" fontId="0" fillId="0" borderId="38" xfId="0" applyNumberFormat="1" applyBorder="1" applyAlignment="1">
      <alignment horizontal="center"/>
    </xf>
    <xf numFmtId="38" fontId="0" fillId="0" borderId="40" xfId="0" applyNumberFormat="1" applyBorder="1" applyAlignment="1">
      <alignment horizontal="center"/>
    </xf>
    <xf numFmtId="38" fontId="2" fillId="3" borderId="56" xfId="0" applyNumberFormat="1" applyFont="1" applyFill="1" applyBorder="1" applyAlignment="1" applyProtection="1">
      <alignment horizontal="center"/>
    </xf>
    <xf numFmtId="38" fontId="0" fillId="3" borderId="57" xfId="0" applyNumberFormat="1" applyFill="1" applyBorder="1" applyAlignment="1">
      <alignment horizontal="center"/>
    </xf>
    <xf numFmtId="38" fontId="2" fillId="3" borderId="9" xfId="0" applyNumberFormat="1" applyFont="1" applyFill="1" applyBorder="1" applyAlignment="1" applyProtection="1">
      <alignment horizontal="center"/>
    </xf>
    <xf numFmtId="38" fontId="0" fillId="3" borderId="39" xfId="0" applyNumberFormat="1" applyFill="1" applyBorder="1" applyAlignment="1">
      <alignment horizontal="center"/>
    </xf>
    <xf numFmtId="38" fontId="2" fillId="5" borderId="48" xfId="0" applyNumberFormat="1" applyFont="1" applyFill="1" applyBorder="1" applyAlignment="1" applyProtection="1">
      <alignment horizontal="center"/>
    </xf>
    <xf numFmtId="38" fontId="2" fillId="5" borderId="39" xfId="0" applyNumberFormat="1" applyFont="1" applyFill="1" applyBorder="1" applyAlignment="1" applyProtection="1">
      <alignment horizontal="center"/>
    </xf>
    <xf numFmtId="38" fontId="0" fillId="3" borderId="58" xfId="0" applyNumberFormat="1" applyFill="1" applyBorder="1" applyAlignment="1">
      <alignment horizontal="center"/>
    </xf>
    <xf numFmtId="38" fontId="6" fillId="6" borderId="18" xfId="0" applyNumberFormat="1" applyFont="1" applyFill="1" applyBorder="1" applyAlignment="1" applyProtection="1">
      <alignment horizontal="center"/>
    </xf>
    <xf numFmtId="38" fontId="2" fillId="5" borderId="59" xfId="0" applyNumberFormat="1" applyFont="1" applyFill="1" applyBorder="1" applyProtection="1"/>
    <xf numFmtId="38" fontId="2" fillId="6" borderId="11" xfId="0" applyNumberFormat="1" applyFont="1" applyFill="1" applyBorder="1" applyAlignment="1" applyProtection="1">
      <alignment horizontal="right"/>
    </xf>
    <xf numFmtId="38" fontId="2" fillId="6" borderId="10" xfId="0" applyNumberFormat="1" applyFont="1" applyFill="1" applyBorder="1" applyProtection="1"/>
    <xf numFmtId="38" fontId="2" fillId="3" borderId="60" xfId="0" applyNumberFormat="1" applyFont="1" applyFill="1" applyBorder="1" applyAlignment="1" applyProtection="1">
      <alignment horizontal="center"/>
    </xf>
    <xf numFmtId="40" fontId="2" fillId="4" borderId="6" xfId="0" applyNumberFormat="1" applyFont="1" applyFill="1" applyBorder="1" applyAlignment="1" applyProtection="1">
      <alignment horizontal="right"/>
      <protection locked="0"/>
    </xf>
    <xf numFmtId="40" fontId="2" fillId="2" borderId="5" xfId="0" applyNumberFormat="1" applyFont="1" applyFill="1" applyBorder="1" applyAlignment="1" applyProtection="1">
      <alignment horizontal="right"/>
    </xf>
    <xf numFmtId="40" fontId="2" fillId="3" borderId="61" xfId="0" applyNumberFormat="1" applyFont="1" applyFill="1" applyBorder="1" applyProtection="1"/>
    <xf numFmtId="40" fontId="2" fillId="0" borderId="6" xfId="0" applyNumberFormat="1" applyFont="1" applyFill="1" applyBorder="1" applyAlignment="1" applyProtection="1">
      <alignment horizontal="right"/>
      <protection locked="0"/>
    </xf>
    <xf numFmtId="40" fontId="2" fillId="0" borderId="7" xfId="0" applyNumberFormat="1" applyFont="1" applyFill="1" applyBorder="1" applyAlignment="1" applyProtection="1">
      <alignment horizontal="right"/>
      <protection locked="0"/>
    </xf>
    <xf numFmtId="40" fontId="2" fillId="5" borderId="62" xfId="0" applyNumberFormat="1" applyFont="1" applyFill="1" applyBorder="1" applyProtection="1"/>
    <xf numFmtId="40" fontId="2" fillId="2" borderId="6" xfId="0" applyNumberFormat="1" applyFont="1" applyFill="1" applyBorder="1" applyAlignment="1" applyProtection="1">
      <alignment horizontal="right"/>
    </xf>
    <xf numFmtId="40" fontId="2" fillId="5" borderId="61" xfId="0" applyNumberFormat="1" applyFont="1" applyFill="1" applyBorder="1" applyProtection="1"/>
    <xf numFmtId="40" fontId="2" fillId="0" borderId="35" xfId="0" applyNumberFormat="1" applyFont="1" applyFill="1" applyBorder="1" applyAlignment="1" applyProtection="1">
      <alignment horizontal="right"/>
      <protection locked="0"/>
    </xf>
    <xf numFmtId="40" fontId="2" fillId="5" borderId="25" xfId="0" applyNumberFormat="1" applyFont="1" applyFill="1" applyBorder="1" applyProtection="1"/>
    <xf numFmtId="40" fontId="2" fillId="5" borderId="12" xfId="0" applyNumberFormat="1" applyFont="1" applyFill="1" applyBorder="1" applyAlignment="1" applyProtection="1">
      <alignment horizontal="right"/>
    </xf>
    <xf numFmtId="40" fontId="2" fillId="5" borderId="60" xfId="0" applyNumberFormat="1" applyFont="1" applyFill="1" applyBorder="1" applyProtection="1"/>
    <xf numFmtId="40" fontId="2" fillId="2" borderId="63" xfId="0" applyNumberFormat="1" applyFont="1" applyFill="1" applyBorder="1" applyAlignment="1" applyProtection="1">
      <alignment horizontal="right"/>
    </xf>
    <xf numFmtId="40" fontId="2" fillId="4" borderId="63" xfId="0" applyNumberFormat="1" applyFont="1" applyFill="1" applyBorder="1" applyAlignment="1" applyProtection="1">
      <alignment horizontal="right"/>
    </xf>
    <xf numFmtId="40" fontId="2" fillId="5" borderId="64" xfId="0" applyNumberFormat="1" applyFont="1" applyFill="1" applyBorder="1" applyProtection="1"/>
    <xf numFmtId="40" fontId="2" fillId="4" borderId="5" xfId="0" applyNumberFormat="1" applyFont="1" applyFill="1" applyBorder="1" applyAlignment="1" applyProtection="1">
      <alignment horizontal="right"/>
    </xf>
    <xf numFmtId="40" fontId="2" fillId="0" borderId="7" xfId="0" applyNumberFormat="1" applyFont="1" applyBorder="1" applyAlignment="1" applyProtection="1">
      <alignment horizontal="right"/>
      <protection locked="0"/>
    </xf>
    <xf numFmtId="40" fontId="2" fillId="0" borderId="65" xfId="0" applyNumberFormat="1" applyFont="1" applyBorder="1" applyAlignment="1" applyProtection="1">
      <alignment horizontal="right"/>
      <protection locked="0"/>
    </xf>
    <xf numFmtId="40" fontId="2" fillId="0" borderId="8" xfId="0" applyNumberFormat="1" applyFont="1" applyBorder="1" applyAlignment="1" applyProtection="1">
      <alignment horizontal="right"/>
      <protection locked="0"/>
    </xf>
    <xf numFmtId="40" fontId="2" fillId="3" borderId="25" xfId="0" applyNumberFormat="1" applyFont="1" applyFill="1" applyBorder="1" applyProtection="1"/>
    <xf numFmtId="40" fontId="2" fillId="3" borderId="12" xfId="0" applyNumberFormat="1" applyFont="1" applyFill="1" applyBorder="1" applyAlignment="1" applyProtection="1">
      <alignment horizontal="right"/>
    </xf>
    <xf numFmtId="40" fontId="2" fillId="3" borderId="60" xfId="0" applyNumberFormat="1" applyFont="1" applyFill="1" applyBorder="1" applyProtection="1"/>
    <xf numFmtId="40" fontId="2" fillId="2" borderId="7" xfId="0" applyNumberFormat="1" applyFont="1" applyFill="1" applyBorder="1" applyAlignment="1" applyProtection="1">
      <alignment horizontal="right"/>
    </xf>
    <xf numFmtId="40" fontId="2" fillId="0" borderId="11" xfId="0" applyNumberFormat="1" applyFont="1" applyBorder="1" applyAlignment="1" applyProtection="1">
      <alignment horizontal="right"/>
      <protection locked="0"/>
    </xf>
    <xf numFmtId="40" fontId="2" fillId="5" borderId="63" xfId="0" applyNumberFormat="1" applyFont="1" applyFill="1" applyBorder="1" applyAlignment="1" applyProtection="1">
      <alignment horizontal="right"/>
    </xf>
    <xf numFmtId="40" fontId="2" fillId="3" borderId="11" xfId="0" applyNumberFormat="1" applyFont="1" applyFill="1" applyBorder="1" applyAlignment="1" applyProtection="1">
      <alignment horizontal="right"/>
    </xf>
    <xf numFmtId="40" fontId="2" fillId="3" borderId="66" xfId="0" applyNumberFormat="1" applyFont="1" applyFill="1" applyBorder="1" applyProtection="1"/>
    <xf numFmtId="40" fontId="6" fillId="2" borderId="12" xfId="0" applyNumberFormat="1" applyFont="1" applyFill="1" applyBorder="1" applyAlignment="1" applyProtection="1">
      <alignment horizontal="center"/>
    </xf>
    <xf numFmtId="40" fontId="6" fillId="2" borderId="60" xfId="0" applyNumberFormat="1" applyFont="1" applyFill="1" applyBorder="1" applyAlignment="1" applyProtection="1">
      <alignment horizontal="center"/>
    </xf>
    <xf numFmtId="40" fontId="2" fillId="0" borderId="8" xfId="0" applyNumberFormat="1" applyFont="1" applyFill="1" applyBorder="1" applyAlignment="1" applyProtection="1">
      <alignment horizontal="right"/>
    </xf>
    <xf numFmtId="40" fontId="2" fillId="3" borderId="67" xfId="0" applyNumberFormat="1" applyFont="1" applyFill="1" applyBorder="1" applyAlignment="1" applyProtection="1">
      <alignment horizontal="right"/>
    </xf>
    <xf numFmtId="40" fontId="2" fillId="3" borderId="68" xfId="0" applyNumberFormat="1" applyFont="1" applyFill="1" applyBorder="1" applyProtection="1"/>
    <xf numFmtId="40" fontId="2" fillId="5" borderId="8" xfId="0" applyNumberFormat="1" applyFont="1" applyFill="1" applyBorder="1" applyAlignment="1" applyProtection="1">
      <alignment horizontal="right"/>
    </xf>
    <xf numFmtId="40" fontId="2" fillId="5" borderId="5" xfId="0" applyNumberFormat="1" applyFont="1" applyFill="1" applyBorder="1" applyAlignment="1" applyProtection="1">
      <alignment horizontal="right"/>
    </xf>
    <xf numFmtId="40" fontId="2" fillId="3" borderId="31" xfId="0" applyNumberFormat="1" applyFont="1" applyFill="1" applyBorder="1" applyAlignment="1" applyProtection="1">
      <alignment horizontal="right"/>
    </xf>
    <xf numFmtId="40" fontId="2" fillId="3" borderId="69" xfId="0" applyNumberFormat="1" applyFont="1" applyFill="1" applyBorder="1" applyProtection="1"/>
    <xf numFmtId="40" fontId="6" fillId="2" borderId="70" xfId="0" applyNumberFormat="1" applyFont="1" applyFill="1" applyBorder="1" applyAlignment="1" applyProtection="1">
      <alignment horizontal="center"/>
    </xf>
    <xf numFmtId="40" fontId="2" fillId="5" borderId="71" xfId="0" applyNumberFormat="1" applyFont="1" applyFill="1" applyBorder="1" applyProtection="1"/>
    <xf numFmtId="40" fontId="2" fillId="3" borderId="72" xfId="0" applyNumberFormat="1" applyFont="1" applyFill="1" applyBorder="1" applyProtection="1"/>
    <xf numFmtId="40" fontId="2" fillId="3" borderId="73" xfId="0" applyNumberFormat="1" applyFont="1" applyFill="1" applyBorder="1" applyProtection="1"/>
    <xf numFmtId="40" fontId="2" fillId="0" borderId="11" xfId="0" applyNumberFormat="1" applyFont="1" applyFill="1" applyBorder="1" applyAlignment="1" applyProtection="1">
      <alignment horizontal="right"/>
      <protection locked="0"/>
    </xf>
    <xf numFmtId="40" fontId="2" fillId="5" borderId="74" xfId="0" applyNumberFormat="1" applyFont="1" applyFill="1" applyBorder="1" applyProtection="1"/>
    <xf numFmtId="40" fontId="2" fillId="3" borderId="75" xfId="0" applyNumberFormat="1" applyFont="1" applyFill="1" applyBorder="1" applyProtection="1"/>
    <xf numFmtId="40" fontId="2" fillId="5" borderId="11" xfId="0" applyNumberFormat="1" applyFont="1" applyFill="1" applyBorder="1" applyAlignment="1" applyProtection="1">
      <alignment horizontal="right"/>
    </xf>
    <xf numFmtId="40" fontId="2" fillId="5" borderId="75" xfId="0" applyNumberFormat="1" applyFont="1" applyFill="1" applyBorder="1" applyProtection="1"/>
    <xf numFmtId="40" fontId="2" fillId="5" borderId="27" xfId="0" applyNumberFormat="1" applyFont="1" applyFill="1" applyBorder="1" applyProtection="1"/>
    <xf numFmtId="40" fontId="2" fillId="5" borderId="24" xfId="0" applyNumberFormat="1" applyFont="1" applyFill="1" applyBorder="1" applyProtection="1"/>
    <xf numFmtId="40" fontId="2" fillId="0" borderId="20" xfId="0" applyNumberFormat="1" applyFont="1" applyBorder="1" applyAlignment="1" applyProtection="1">
      <alignment horizontal="right"/>
      <protection locked="0"/>
    </xf>
    <xf numFmtId="40" fontId="2" fillId="0" borderId="5" xfId="0" applyNumberFormat="1" applyFont="1" applyBorder="1" applyAlignment="1" applyProtection="1">
      <alignment horizontal="right"/>
      <protection locked="0"/>
    </xf>
    <xf numFmtId="40" fontId="2" fillId="3" borderId="71" xfId="0" applyNumberFormat="1" applyFont="1" applyFill="1" applyBorder="1" applyProtection="1"/>
    <xf numFmtId="40" fontId="6" fillId="6" borderId="12" xfId="0" applyNumberFormat="1" applyFont="1" applyFill="1" applyBorder="1" applyAlignment="1" applyProtection="1">
      <alignment horizontal="right"/>
    </xf>
    <xf numFmtId="40" fontId="6" fillId="6" borderId="70" xfId="0" applyNumberFormat="1" applyFont="1" applyFill="1" applyBorder="1" applyProtection="1"/>
    <xf numFmtId="40" fontId="2" fillId="3" borderId="63" xfId="0" applyNumberFormat="1" applyFont="1" applyFill="1" applyBorder="1" applyAlignment="1" applyProtection="1">
      <alignment horizontal="right"/>
    </xf>
    <xf numFmtId="40" fontId="2" fillId="3" borderId="6" xfId="0" applyNumberFormat="1" applyFont="1" applyFill="1" applyBorder="1" applyAlignment="1" applyProtection="1">
      <alignment horizontal="right"/>
    </xf>
    <xf numFmtId="40" fontId="2" fillId="3" borderId="7" xfId="0" applyNumberFormat="1" applyFont="1" applyFill="1" applyBorder="1" applyAlignment="1" applyProtection="1">
      <alignment horizontal="right"/>
    </xf>
    <xf numFmtId="40" fontId="2" fillId="3" borderId="26" xfId="0" applyNumberFormat="1" applyFont="1" applyFill="1" applyBorder="1" applyProtection="1"/>
    <xf numFmtId="40" fontId="2" fillId="0" borderId="5" xfId="0" applyNumberFormat="1" applyFont="1" applyFill="1" applyBorder="1" applyAlignment="1" applyProtection="1">
      <alignment horizontal="right"/>
    </xf>
    <xf numFmtId="0" fontId="18" fillId="0" borderId="10" xfId="2" applyBorder="1" applyAlignment="1" applyProtection="1">
      <alignment horizontal="left"/>
      <protection locked="0"/>
    </xf>
    <xf numFmtId="38" fontId="2" fillId="7" borderId="0" xfId="0" applyNumberFormat="1" applyFont="1" applyFill="1" applyAlignment="1" applyProtection="1">
      <alignment horizontal="center"/>
    </xf>
    <xf numFmtId="38" fontId="0" fillId="7" borderId="40" xfId="0" applyNumberFormat="1" applyFill="1" applyBorder="1" applyAlignment="1">
      <alignment horizontal="center"/>
    </xf>
    <xf numFmtId="38" fontId="21" fillId="7" borderId="76" xfId="1" applyNumberFormat="1" applyFont="1" applyFill="1" applyBorder="1" applyAlignment="1">
      <alignment horizontal="center"/>
    </xf>
    <xf numFmtId="38" fontId="2" fillId="7" borderId="0" xfId="0" applyNumberFormat="1" applyFont="1" applyFill="1" applyProtection="1"/>
    <xf numFmtId="38" fontId="0" fillId="7" borderId="40" xfId="0" applyNumberFormat="1" applyFill="1" applyBorder="1"/>
    <xf numFmtId="38" fontId="2" fillId="7" borderId="56" xfId="0" applyNumberFormat="1" applyFont="1" applyFill="1" applyBorder="1" applyProtection="1"/>
    <xf numFmtId="38" fontId="0" fillId="7" borderId="57" xfId="0" applyNumberFormat="1" applyFill="1" applyBorder="1"/>
    <xf numFmtId="38" fontId="2" fillId="7" borderId="9" xfId="0" applyNumberFormat="1" applyFont="1" applyFill="1" applyBorder="1" applyProtection="1"/>
    <xf numFmtId="38" fontId="0" fillId="7" borderId="39" xfId="0" applyNumberFormat="1" applyFill="1" applyBorder="1"/>
    <xf numFmtId="38" fontId="2" fillId="7" borderId="43" xfId="0" applyNumberFormat="1" applyFont="1" applyFill="1" applyBorder="1" applyProtection="1"/>
    <xf numFmtId="38" fontId="0" fillId="7" borderId="18" xfId="0" applyNumberFormat="1" applyFill="1" applyBorder="1"/>
    <xf numFmtId="0" fontId="3" fillId="0" borderId="0" xfId="0" applyNumberFormat="1" applyFont="1" applyAlignment="1" applyProtection="1">
      <alignment horizontal="center"/>
    </xf>
    <xf numFmtId="0" fontId="5" fillId="0" borderId="0" xfId="0" quotePrefix="1" applyNumberFormat="1" applyFont="1" applyAlignment="1" applyProtection="1">
      <alignment horizontal="center"/>
    </xf>
    <xf numFmtId="0" fontId="4" fillId="0" borderId="10" xfId="3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0" borderId="10" xfId="3" applyFont="1" applyBorder="1" applyAlignment="1" applyProtection="1">
      <alignment horizontal="left"/>
    </xf>
    <xf numFmtId="14" fontId="4" fillId="0" borderId="10" xfId="3" applyNumberFormat="1" applyFont="1" applyBorder="1" applyAlignment="1" applyProtection="1">
      <alignment horizontal="left"/>
      <protection locked="0"/>
    </xf>
    <xf numFmtId="0" fontId="18" fillId="0" borderId="10" xfId="2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NumberFormat="1" applyFont="1" applyAlignment="1" applyProtection="1">
      <alignment horizontal="right"/>
    </xf>
    <xf numFmtId="0" fontId="6" fillId="0" borderId="0" xfId="0" quotePrefix="1" applyNumberFormat="1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5">
    <cellStyle name="Comma" xfId="1" builtinId="3"/>
    <cellStyle name="Hyperlink" xfId="2" builtinId="8"/>
    <cellStyle name="Normal" xfId="0" builtinId="0"/>
    <cellStyle name="Normal_SBE Alternate Form Cert Page 8 15 03" xfId="3" xr:uid="{00000000-0005-0000-0000-000003000000}"/>
    <cellStyle name="Percent" xfId="4" builtinId="5"/>
  </cellStyles>
  <dxfs count="11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27"/>
        </patternFill>
      </fill>
    </dxf>
    <dxf>
      <fill>
        <patternFill>
          <bgColor indexed="53"/>
        </patternFill>
      </fill>
    </dxf>
    <dxf>
      <fill>
        <patternFill>
          <bgColor indexed="27"/>
        </patternFill>
      </fill>
    </dxf>
    <dxf>
      <fill>
        <patternFill>
          <bgColor indexed="53"/>
        </patternFill>
      </fill>
    </dxf>
    <dxf>
      <fill>
        <patternFill>
          <bgColor indexed="27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arner@csmc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zoomScaleNormal="100" workbookViewId="0">
      <selection activeCell="K39" sqref="K39"/>
    </sheetView>
  </sheetViews>
  <sheetFormatPr defaultRowHeight="12.75" x14ac:dyDescent="0.2"/>
  <cols>
    <col min="1" max="1" width="3.5703125" style="88" customWidth="1"/>
    <col min="2" max="2" width="1.5703125" style="89" customWidth="1"/>
    <col min="3" max="3" width="1.140625" style="88" customWidth="1"/>
    <col min="4" max="4" width="8" style="89" customWidth="1"/>
    <col min="5" max="6" width="9.140625" style="89"/>
    <col min="7" max="7" width="8.5703125" style="89" customWidth="1"/>
    <col min="8" max="8" width="9.140625" style="89"/>
    <col min="9" max="9" width="5.140625" style="89" customWidth="1"/>
    <col min="10" max="10" width="2.7109375" style="89" customWidth="1"/>
    <col min="11" max="11" width="9.140625" style="89"/>
    <col min="12" max="12" width="6.85546875" style="89" customWidth="1"/>
    <col min="13" max="13" width="9.140625" style="89"/>
    <col min="14" max="14" width="5.42578125" style="89" customWidth="1"/>
    <col min="15" max="15" width="24.7109375" style="89" customWidth="1"/>
  </cols>
  <sheetData>
    <row r="1" spans="1:15" ht="15.75" x14ac:dyDescent="0.25">
      <c r="A1" s="298" t="s">
        <v>281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15.75" x14ac:dyDescent="0.25">
      <c r="A2" s="298" t="s">
        <v>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1:15" ht="15" x14ac:dyDescent="0.25">
      <c r="A3" s="299" t="s">
        <v>279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5" ht="15" x14ac:dyDescent="0.25">
      <c r="A4" s="5"/>
      <c r="B4" s="4"/>
      <c r="C4" s="4"/>
      <c r="D4" s="4"/>
      <c r="E4" s="4"/>
      <c r="F4" s="4"/>
      <c r="G4" s="4"/>
      <c r="H4" s="4"/>
      <c r="I4" s="3"/>
      <c r="J4"/>
      <c r="K4"/>
      <c r="L4"/>
      <c r="M4"/>
      <c r="N4"/>
      <c r="O4"/>
    </row>
    <row r="5" spans="1:15" ht="15" x14ac:dyDescent="0.25">
      <c r="A5" s="51"/>
      <c r="B5" s="51"/>
      <c r="C5" s="51"/>
      <c r="D5" s="52"/>
      <c r="E5" s="52"/>
      <c r="F5" s="52"/>
      <c r="I5" s="55" t="s">
        <v>166</v>
      </c>
      <c r="J5" s="52"/>
      <c r="K5" s="52"/>
      <c r="L5" s="52"/>
      <c r="M5" s="52"/>
      <c r="N5" s="52"/>
      <c r="O5" s="52"/>
    </row>
    <row r="6" spans="1:15" ht="15" x14ac:dyDescent="0.25">
      <c r="A6" s="53"/>
      <c r="B6" s="54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5" x14ac:dyDescent="0.25">
      <c r="A7" s="57"/>
      <c r="B7" s="58"/>
      <c r="C7" s="58"/>
      <c r="D7" s="59"/>
      <c r="E7" s="59"/>
      <c r="F7" s="59"/>
      <c r="G7" s="59"/>
      <c r="H7" s="59"/>
      <c r="I7" s="60" t="s">
        <v>1</v>
      </c>
      <c r="J7" s="98" t="s">
        <v>273</v>
      </c>
      <c r="K7" s="96"/>
      <c r="L7" s="96"/>
      <c r="M7" s="96"/>
      <c r="N7" s="96"/>
      <c r="O7" s="96"/>
    </row>
    <row r="8" spans="1:15" ht="15" x14ac:dyDescent="0.25">
      <c r="A8" s="57"/>
      <c r="B8" s="58"/>
      <c r="C8" s="58"/>
      <c r="D8" s="59"/>
      <c r="E8" s="59"/>
      <c r="F8" s="59"/>
      <c r="G8" s="59"/>
      <c r="H8" s="59"/>
      <c r="I8" s="60" t="s">
        <v>2</v>
      </c>
      <c r="J8" s="99" t="s">
        <v>274</v>
      </c>
      <c r="K8" s="97"/>
      <c r="L8" s="97"/>
      <c r="M8" s="97"/>
      <c r="N8" s="97"/>
      <c r="O8" s="97"/>
    </row>
    <row r="9" spans="1:15" ht="15" x14ac:dyDescent="0.25">
      <c r="A9" s="57"/>
      <c r="B9" s="58"/>
      <c r="C9" s="58"/>
      <c r="D9" s="59"/>
      <c r="E9" s="59"/>
      <c r="F9" s="59"/>
      <c r="G9" s="59"/>
      <c r="H9" s="59"/>
      <c r="I9" s="60" t="s">
        <v>3</v>
      </c>
      <c r="J9" s="99" t="s">
        <v>275</v>
      </c>
      <c r="K9" s="95"/>
      <c r="L9" s="95"/>
      <c r="M9" s="95"/>
      <c r="N9" s="95"/>
      <c r="O9" s="95"/>
    </row>
    <row r="10" spans="1:15" ht="15" x14ac:dyDescent="0.25">
      <c r="A10" s="57"/>
      <c r="B10" s="58"/>
      <c r="C10" s="58"/>
      <c r="D10" s="59"/>
      <c r="E10" s="59"/>
      <c r="F10" s="59"/>
      <c r="G10" s="59"/>
      <c r="H10" s="59"/>
      <c r="I10" s="60" t="s">
        <v>4</v>
      </c>
      <c r="J10" s="99" t="s">
        <v>276</v>
      </c>
      <c r="K10" s="95"/>
      <c r="L10" s="95"/>
      <c r="M10" s="95"/>
      <c r="N10" s="95"/>
      <c r="O10" s="95"/>
    </row>
    <row r="11" spans="1:15" ht="15" x14ac:dyDescent="0.25">
      <c r="A11" s="57"/>
      <c r="B11" s="58"/>
      <c r="C11" s="58"/>
      <c r="D11" s="59"/>
      <c r="E11" s="59"/>
      <c r="F11" s="59"/>
      <c r="G11" s="59"/>
      <c r="H11" s="59"/>
      <c r="I11" s="60" t="s">
        <v>5</v>
      </c>
      <c r="J11" s="94" t="s">
        <v>277</v>
      </c>
      <c r="K11" s="95"/>
      <c r="L11" s="95"/>
      <c r="M11" s="95"/>
      <c r="N11" s="95"/>
      <c r="O11" s="95"/>
    </row>
    <row r="12" spans="1:15" ht="15" thickBot="1" x14ac:dyDescent="0.25">
      <c r="A12" s="61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5" thickTop="1" x14ac:dyDescent="0.2">
      <c r="A13" s="53"/>
      <c r="B13" s="54"/>
      <c r="C13" s="53"/>
      <c r="D13" s="64" t="s">
        <v>146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53"/>
    </row>
    <row r="14" spans="1:15" x14ac:dyDescent="0.2">
      <c r="A14" s="53"/>
      <c r="B14" s="5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4.25" x14ac:dyDescent="0.2">
      <c r="A15" s="53"/>
      <c r="B15" s="54"/>
      <c r="C15" s="53"/>
      <c r="D15" s="66" t="s">
        <v>147</v>
      </c>
      <c r="E15" s="67"/>
      <c r="F15" s="67"/>
      <c r="G15" s="67"/>
      <c r="H15" s="67"/>
      <c r="I15" s="67"/>
      <c r="J15" s="68"/>
      <c r="K15" s="66" t="s">
        <v>148</v>
      </c>
      <c r="L15" s="67"/>
      <c r="M15" s="67"/>
      <c r="N15" s="67"/>
      <c r="O15" s="67"/>
    </row>
    <row r="16" spans="1:15" ht="14.25" x14ac:dyDescent="0.2">
      <c r="A16" s="53"/>
      <c r="B16" s="54"/>
      <c r="C16" s="53"/>
      <c r="D16" s="300"/>
      <c r="E16" s="300"/>
      <c r="F16" s="300"/>
      <c r="G16" s="300"/>
      <c r="H16" s="300"/>
      <c r="I16" s="300"/>
      <c r="J16" s="69"/>
      <c r="K16" s="300" t="s">
        <v>267</v>
      </c>
      <c r="L16" s="301"/>
      <c r="M16" s="301"/>
      <c r="N16" s="301"/>
      <c r="O16" s="301"/>
    </row>
    <row r="17" spans="1:15" ht="14.25" x14ac:dyDescent="0.2">
      <c r="A17" s="53"/>
      <c r="B17" s="54"/>
      <c r="C17" s="53"/>
      <c r="D17" s="70" t="s">
        <v>149</v>
      </c>
      <c r="E17" s="70"/>
      <c r="F17" s="70"/>
      <c r="G17" s="70"/>
      <c r="H17" s="70"/>
      <c r="I17" s="71"/>
      <c r="J17" s="68"/>
      <c r="K17" s="70" t="s">
        <v>149</v>
      </c>
      <c r="L17" s="70"/>
      <c r="M17" s="70"/>
      <c r="N17" s="70"/>
      <c r="O17" s="70"/>
    </row>
    <row r="18" spans="1:15" ht="14.25" x14ac:dyDescent="0.2">
      <c r="A18" s="53"/>
      <c r="B18" s="54"/>
      <c r="C18" s="53"/>
      <c r="D18" s="300"/>
      <c r="E18" s="300"/>
      <c r="F18" s="300"/>
      <c r="G18" s="300"/>
      <c r="H18" s="300"/>
      <c r="I18" s="300"/>
      <c r="J18" s="69"/>
      <c r="K18" s="300" t="s">
        <v>268</v>
      </c>
      <c r="L18" s="301"/>
      <c r="M18" s="301"/>
      <c r="N18" s="301"/>
      <c r="O18" s="301"/>
    </row>
    <row r="19" spans="1:15" ht="14.25" x14ac:dyDescent="0.2">
      <c r="A19" s="53"/>
      <c r="B19" s="54"/>
      <c r="C19" s="53"/>
      <c r="D19" s="70" t="s">
        <v>150</v>
      </c>
      <c r="E19" s="70"/>
      <c r="F19" s="70"/>
      <c r="G19" s="70"/>
      <c r="H19" s="70"/>
      <c r="I19" s="70"/>
      <c r="J19" s="68"/>
      <c r="K19" s="70" t="s">
        <v>150</v>
      </c>
      <c r="L19" s="70"/>
      <c r="M19" s="70"/>
      <c r="N19" s="70"/>
      <c r="O19" s="71"/>
    </row>
    <row r="20" spans="1:15" ht="14.25" x14ac:dyDescent="0.2">
      <c r="A20" s="53"/>
      <c r="B20" s="54"/>
      <c r="C20" s="53"/>
      <c r="D20" s="300"/>
      <c r="E20" s="300"/>
      <c r="F20" s="300"/>
      <c r="G20" s="300"/>
      <c r="H20" s="300"/>
      <c r="I20" s="300"/>
      <c r="J20" s="69"/>
      <c r="K20" s="300" t="s">
        <v>269</v>
      </c>
      <c r="L20" s="301"/>
      <c r="M20" s="301"/>
      <c r="N20" s="301"/>
      <c r="O20" s="301"/>
    </row>
    <row r="21" spans="1:15" ht="14.25" x14ac:dyDescent="0.2">
      <c r="A21" s="68"/>
      <c r="B21" s="72"/>
      <c r="C21" s="68"/>
      <c r="D21" s="70" t="s">
        <v>151</v>
      </c>
      <c r="E21" s="70"/>
      <c r="F21" s="70"/>
      <c r="G21" s="70"/>
      <c r="H21" s="70"/>
      <c r="I21" s="70"/>
      <c r="J21" s="68"/>
      <c r="K21" s="70" t="s">
        <v>151</v>
      </c>
      <c r="L21" s="70"/>
      <c r="M21" s="70"/>
      <c r="N21" s="70"/>
      <c r="O21" s="70"/>
    </row>
    <row r="22" spans="1:15" ht="14.25" x14ac:dyDescent="0.2">
      <c r="A22" s="68"/>
      <c r="B22" s="72"/>
      <c r="C22" s="68"/>
      <c r="D22" s="304"/>
      <c r="E22" s="300"/>
      <c r="F22" s="300"/>
      <c r="G22" s="300"/>
      <c r="H22" s="300"/>
      <c r="I22" s="286"/>
      <c r="J22" s="68"/>
      <c r="K22" s="304" t="s">
        <v>270</v>
      </c>
      <c r="L22" s="300"/>
      <c r="M22" s="300"/>
      <c r="N22" s="300"/>
      <c r="O22" s="300"/>
    </row>
    <row r="23" spans="1:15" ht="14.25" x14ac:dyDescent="0.2">
      <c r="A23" s="68"/>
      <c r="B23" s="72"/>
      <c r="C23" s="68"/>
      <c r="D23" s="70" t="s">
        <v>152</v>
      </c>
      <c r="E23" s="70"/>
      <c r="F23" s="70"/>
      <c r="G23" s="70"/>
      <c r="H23" s="70"/>
      <c r="I23" s="71"/>
      <c r="J23" s="68"/>
      <c r="K23" s="70" t="s">
        <v>152</v>
      </c>
      <c r="L23" s="70"/>
      <c r="M23" s="70"/>
      <c r="N23" s="70"/>
      <c r="O23" s="70"/>
    </row>
    <row r="24" spans="1:15" ht="15" thickBot="1" x14ac:dyDescent="0.25">
      <c r="A24" s="61"/>
      <c r="B24" s="62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" thickTop="1" x14ac:dyDescent="0.2">
      <c r="A25" s="53"/>
      <c r="B25" s="54"/>
      <c r="C25" s="73"/>
      <c r="D25" s="73" t="s">
        <v>153</v>
      </c>
      <c r="E25" s="65"/>
      <c r="F25" s="65"/>
      <c r="G25" s="65"/>
      <c r="H25" s="65"/>
      <c r="I25" s="65"/>
      <c r="J25" s="73"/>
      <c r="K25" s="65"/>
      <c r="L25" s="65"/>
      <c r="M25" s="65"/>
      <c r="N25" s="65"/>
      <c r="O25" s="65"/>
    </row>
    <row r="26" spans="1:15" ht="14.25" x14ac:dyDescent="0.2">
      <c r="A26" s="74" t="s">
        <v>168</v>
      </c>
      <c r="B26" s="62" t="s">
        <v>154</v>
      </c>
      <c r="C26" s="68"/>
      <c r="D26" s="75" t="s">
        <v>282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ht="14.25" x14ac:dyDescent="0.2">
      <c r="A27" s="53"/>
      <c r="B27" s="54"/>
      <c r="C27" s="68"/>
      <c r="D27" s="68" t="s">
        <v>155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ht="14.25" x14ac:dyDescent="0.2">
      <c r="A28" s="53"/>
      <c r="B28" s="54"/>
      <c r="C28" s="68"/>
      <c r="D28" s="68" t="s">
        <v>156</v>
      </c>
      <c r="E28" s="302"/>
      <c r="F28" s="302"/>
      <c r="G28" s="302"/>
      <c r="H28" s="302"/>
      <c r="I28" s="302"/>
      <c r="J28" s="68"/>
      <c r="K28" s="68" t="s">
        <v>157</v>
      </c>
      <c r="L28" s="303"/>
      <c r="M28" s="300"/>
      <c r="N28" s="300"/>
      <c r="O28" s="68"/>
    </row>
    <row r="29" spans="1:15" ht="14.25" x14ac:dyDescent="0.2">
      <c r="A29" s="53"/>
      <c r="B29" s="54"/>
      <c r="C29" s="53"/>
      <c r="D29" s="54"/>
      <c r="E29" s="76" t="s">
        <v>158</v>
      </c>
      <c r="F29" s="77"/>
      <c r="G29" s="77"/>
      <c r="H29" s="77"/>
      <c r="I29" s="77"/>
      <c r="J29" s="53"/>
      <c r="K29" s="53"/>
      <c r="L29" s="53"/>
      <c r="M29" s="53"/>
      <c r="N29" s="53"/>
      <c r="O29" s="53"/>
    </row>
    <row r="30" spans="1:15" ht="14.25" x14ac:dyDescent="0.2">
      <c r="A30" s="53"/>
      <c r="B30" s="54"/>
      <c r="C30" s="53"/>
      <c r="D30" s="54"/>
      <c r="E30" s="76" t="s">
        <v>159</v>
      </c>
      <c r="F30" s="77"/>
      <c r="G30" s="77"/>
      <c r="H30" s="77"/>
      <c r="I30" s="77"/>
      <c r="J30" s="53"/>
      <c r="K30" s="53"/>
      <c r="L30" s="53"/>
      <c r="M30" s="53"/>
      <c r="N30" s="53"/>
      <c r="O30" s="53"/>
    </row>
    <row r="31" spans="1:15" ht="28.5" x14ac:dyDescent="0.2">
      <c r="A31" s="53"/>
      <c r="B31" s="54"/>
      <c r="C31" s="68"/>
      <c r="D31" s="78" t="s">
        <v>160</v>
      </c>
      <c r="E31" s="300" t="s">
        <v>278</v>
      </c>
      <c r="F31" s="300"/>
      <c r="G31" s="300"/>
      <c r="H31" s="300"/>
      <c r="I31" s="300"/>
      <c r="J31" s="68"/>
      <c r="K31" s="68" t="s">
        <v>161</v>
      </c>
      <c r="L31" s="300" t="s">
        <v>271</v>
      </c>
      <c r="M31" s="300"/>
      <c r="N31" s="300"/>
      <c r="O31" s="68"/>
    </row>
    <row r="32" spans="1:15" ht="14.25" x14ac:dyDescent="0.2">
      <c r="A32" s="79"/>
      <c r="B32" s="80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5" ht="14.25" x14ac:dyDescent="0.2">
      <c r="A33" s="53"/>
      <c r="B33" s="54"/>
      <c r="C33" s="68"/>
      <c r="D33" s="81" t="s">
        <v>272</v>
      </c>
      <c r="E33" s="81"/>
      <c r="F33" s="81"/>
      <c r="G33" s="81"/>
      <c r="H33" s="81"/>
      <c r="I33" s="81"/>
      <c r="J33" s="68"/>
      <c r="K33" s="68"/>
      <c r="L33" s="81"/>
      <c r="M33" s="81"/>
      <c r="N33" s="81"/>
      <c r="O33" s="82"/>
    </row>
    <row r="34" spans="1:15" ht="14.25" x14ac:dyDescent="0.2">
      <c r="A34" s="74"/>
      <c r="B34" s="62" t="s">
        <v>154</v>
      </c>
      <c r="C34" s="68"/>
      <c r="D34" s="75" t="s">
        <v>282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4.25" x14ac:dyDescent="0.2">
      <c r="A35" s="53"/>
      <c r="B35" s="54"/>
      <c r="C35" s="68"/>
      <c r="D35" s="68" t="s">
        <v>162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4.25" x14ac:dyDescent="0.2">
      <c r="A36" s="53"/>
      <c r="B36" s="54"/>
      <c r="C36" s="68"/>
      <c r="D36" s="68" t="s">
        <v>156</v>
      </c>
      <c r="E36" s="302"/>
      <c r="F36" s="302"/>
      <c r="G36" s="302"/>
      <c r="H36" s="302"/>
      <c r="I36" s="302"/>
      <c r="J36" s="68"/>
      <c r="K36" s="68" t="s">
        <v>157</v>
      </c>
      <c r="L36" s="300"/>
      <c r="M36" s="300"/>
      <c r="N36" s="300"/>
      <c r="O36" s="68"/>
    </row>
    <row r="37" spans="1:15" ht="25.5" x14ac:dyDescent="0.2">
      <c r="A37" s="53"/>
      <c r="B37" s="54"/>
      <c r="C37" s="53"/>
      <c r="D37" s="53"/>
      <c r="E37" s="83" t="s">
        <v>163</v>
      </c>
      <c r="F37" s="83"/>
      <c r="G37" s="83"/>
      <c r="H37" s="83"/>
      <c r="I37" s="83"/>
      <c r="J37" s="53"/>
      <c r="K37" s="53"/>
      <c r="L37" s="84"/>
      <c r="M37" s="84"/>
      <c r="N37" s="84"/>
      <c r="O37" s="53"/>
    </row>
    <row r="38" spans="1:15" x14ac:dyDescent="0.2">
      <c r="A38" s="53"/>
      <c r="B38" s="54"/>
      <c r="C38" s="53"/>
      <c r="D38" s="53"/>
      <c r="E38" s="51" t="s">
        <v>159</v>
      </c>
      <c r="F38" s="51"/>
      <c r="G38" s="51"/>
      <c r="H38" s="51"/>
      <c r="I38" s="51"/>
      <c r="J38" s="53"/>
      <c r="K38" s="53"/>
      <c r="L38" s="53"/>
      <c r="M38" s="53"/>
      <c r="N38" s="53"/>
      <c r="O38" s="53"/>
    </row>
    <row r="39" spans="1:15" ht="28.5" x14ac:dyDescent="0.2">
      <c r="A39" s="53"/>
      <c r="B39" s="54"/>
      <c r="C39" s="68"/>
      <c r="D39" s="78" t="s">
        <v>160</v>
      </c>
      <c r="E39" s="300"/>
      <c r="F39" s="300"/>
      <c r="G39" s="300"/>
      <c r="H39" s="300"/>
      <c r="I39" s="300"/>
      <c r="J39" s="68"/>
      <c r="K39" s="68" t="s">
        <v>161</v>
      </c>
      <c r="L39" s="300"/>
      <c r="M39" s="300"/>
      <c r="N39" s="300"/>
      <c r="O39" s="68"/>
    </row>
    <row r="40" spans="1:15" ht="14.25" x14ac:dyDescent="0.2">
      <c r="A40" s="79"/>
      <c r="B40" s="80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 ht="14.25" x14ac:dyDescent="0.2">
      <c r="A41" s="53"/>
      <c r="B41" s="54"/>
      <c r="C41" s="69"/>
      <c r="D41" s="81" t="s">
        <v>164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2"/>
    </row>
    <row r="42" spans="1:15" ht="14.25" x14ac:dyDescent="0.2">
      <c r="A42" s="74"/>
      <c r="B42" s="62" t="s">
        <v>154</v>
      </c>
      <c r="C42" s="68"/>
      <c r="D42" s="75" t="s">
        <v>282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ht="14.25" x14ac:dyDescent="0.2">
      <c r="A43" s="53"/>
      <c r="B43" s="54"/>
      <c r="C43" s="68"/>
      <c r="D43" s="90" t="s">
        <v>167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ht="14.25" x14ac:dyDescent="0.2">
      <c r="A44" s="53"/>
      <c r="B44" s="54"/>
      <c r="C44" s="68"/>
      <c r="D44" s="68" t="s">
        <v>156</v>
      </c>
      <c r="E44" s="302"/>
      <c r="F44" s="302"/>
      <c r="G44" s="302"/>
      <c r="H44" s="302"/>
      <c r="I44" s="302"/>
      <c r="J44" s="68"/>
      <c r="K44" s="68" t="s">
        <v>157</v>
      </c>
      <c r="L44" s="300"/>
      <c r="M44" s="300"/>
      <c r="N44" s="300"/>
      <c r="O44" s="68"/>
    </row>
    <row r="45" spans="1:15" ht="14.25" x14ac:dyDescent="0.2">
      <c r="A45" s="53"/>
      <c r="B45" s="54"/>
      <c r="C45" s="68"/>
      <c r="D45" s="68"/>
      <c r="E45" s="51" t="s">
        <v>165</v>
      </c>
      <c r="F45" s="51"/>
      <c r="G45" s="51"/>
      <c r="H45" s="51"/>
      <c r="I45" s="51"/>
      <c r="J45" s="85"/>
      <c r="K45" s="68"/>
      <c r="L45" s="68"/>
      <c r="M45" s="68"/>
      <c r="N45" s="68"/>
      <c r="O45" s="68"/>
    </row>
    <row r="46" spans="1:15" ht="14.25" x14ac:dyDescent="0.2">
      <c r="A46" s="53"/>
      <c r="B46" s="54"/>
      <c r="C46" s="68"/>
      <c r="D46" s="68"/>
      <c r="E46" s="51" t="s">
        <v>159</v>
      </c>
      <c r="F46" s="51"/>
      <c r="G46" s="51"/>
      <c r="H46" s="51"/>
      <c r="I46" s="51"/>
      <c r="J46" s="85"/>
      <c r="K46" s="68"/>
      <c r="L46" s="68"/>
      <c r="M46" s="68"/>
      <c r="N46" s="68"/>
      <c r="O46" s="68"/>
    </row>
    <row r="47" spans="1:15" ht="13.5" thickBot="1" x14ac:dyDescent="0.25">
      <c r="A47" s="86"/>
      <c r="B47" s="87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3.5" thickTop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x14ac:dyDescent="0.2">
      <c r="A52" s="53"/>
      <c r="B52" s="54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1:15" x14ac:dyDescent="0.2">
      <c r="A53" s="53"/>
      <c r="B53" s="54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1:15" x14ac:dyDescent="0.2">
      <c r="A54" s="53"/>
      <c r="B54" s="54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x14ac:dyDescent="0.2">
      <c r="A55" s="53"/>
      <c r="B55" s="54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 x14ac:dyDescent="0.2">
      <c r="A56" s="53"/>
      <c r="B56" s="54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1:15" x14ac:dyDescent="0.2">
      <c r="A57" s="53"/>
      <c r="B57" s="54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1:15" x14ac:dyDescent="0.2">
      <c r="A58" s="53"/>
      <c r="B58" s="54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1:15" x14ac:dyDescent="0.2">
      <c r="A59" s="53"/>
      <c r="B59" s="54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1:15" x14ac:dyDescent="0.2">
      <c r="A60" s="53"/>
      <c r="B60" s="54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</sheetData>
  <mergeCells count="21">
    <mergeCell ref="L31:N31"/>
    <mergeCell ref="K18:O18"/>
    <mergeCell ref="E44:I44"/>
    <mergeCell ref="L44:N44"/>
    <mergeCell ref="L39:N39"/>
    <mergeCell ref="L28:N28"/>
    <mergeCell ref="E31:I31"/>
    <mergeCell ref="D20:I20"/>
    <mergeCell ref="E39:I39"/>
    <mergeCell ref="D22:H22"/>
    <mergeCell ref="L36:N36"/>
    <mergeCell ref="K20:O20"/>
    <mergeCell ref="E28:I28"/>
    <mergeCell ref="E36:I36"/>
    <mergeCell ref="K22:O22"/>
    <mergeCell ref="D18:I18"/>
    <mergeCell ref="A1:O1"/>
    <mergeCell ref="A2:O2"/>
    <mergeCell ref="A3:O3"/>
    <mergeCell ref="D16:I16"/>
    <mergeCell ref="K16:O16"/>
  </mergeCells>
  <phoneticPr fontId="0" type="noConversion"/>
  <hyperlinks>
    <hyperlink ref="K22" r:id="rId1" xr:uid="{00000000-0004-0000-0000-000000000000}"/>
  </hyperlinks>
  <pageMargins left="0.25" right="0.26" top="1" bottom="1" header="0.5" footer="0.5"/>
  <pageSetup scale="8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tabSelected="1" zoomScaleNormal="100" workbookViewId="0">
      <selection activeCell="F162" sqref="F162"/>
    </sheetView>
  </sheetViews>
  <sheetFormatPr defaultRowHeight="12.75" x14ac:dyDescent="0.2"/>
  <cols>
    <col min="1" max="1" width="3.42578125" customWidth="1"/>
    <col min="2" max="2" width="3.7109375" customWidth="1"/>
    <col min="3" max="3" width="5.5703125" customWidth="1"/>
    <col min="4" max="4" width="52.7109375" customWidth="1"/>
    <col min="5" max="5" width="14.5703125" customWidth="1"/>
    <col min="6" max="6" width="14.7109375" customWidth="1"/>
    <col min="7" max="7" width="16.7109375" bestFit="1" customWidth="1"/>
    <col min="8" max="8" width="17.28515625" bestFit="1" customWidth="1"/>
    <col min="9" max="10" width="12.85546875" customWidth="1"/>
    <col min="11" max="11" width="12.28515625" hidden="1" customWidth="1"/>
    <col min="12" max="12" width="8.5703125" style="107" hidden="1" customWidth="1"/>
  </cols>
  <sheetData>
    <row r="1" spans="1:12" ht="15.75" x14ac:dyDescent="0.25">
      <c r="A1" s="298" t="str">
        <f>+Certification!A1</f>
        <v>CHARTER SCHOOL SECOND INTERIM</v>
      </c>
      <c r="B1" s="305"/>
      <c r="C1" s="305"/>
      <c r="D1" s="305"/>
      <c r="E1" s="305"/>
      <c r="F1" s="305"/>
      <c r="G1" s="305"/>
      <c r="H1" s="305"/>
      <c r="I1" s="3"/>
      <c r="J1" s="3"/>
      <c r="K1" s="3"/>
      <c r="L1" s="102"/>
    </row>
    <row r="2" spans="1:12" ht="15.75" x14ac:dyDescent="0.25">
      <c r="A2" s="298" t="s">
        <v>0</v>
      </c>
      <c r="B2" s="306"/>
      <c r="C2" s="306"/>
      <c r="D2" s="306"/>
      <c r="E2" s="306"/>
      <c r="F2" s="306"/>
      <c r="G2" s="306"/>
      <c r="H2" s="306"/>
      <c r="I2" s="3"/>
      <c r="J2" s="3"/>
      <c r="K2" s="3"/>
      <c r="L2" s="102"/>
    </row>
    <row r="3" spans="1:12" ht="15" x14ac:dyDescent="0.25">
      <c r="A3" s="299" t="str">
        <f>+Certification!A3</f>
        <v>July 1, 2017 to June 30, 2018</v>
      </c>
      <c r="B3" s="307"/>
      <c r="C3" s="307"/>
      <c r="D3" s="307"/>
      <c r="E3" s="307"/>
      <c r="F3" s="307"/>
      <c r="G3" s="307"/>
      <c r="H3" s="307"/>
      <c r="I3" s="3"/>
      <c r="J3" s="3"/>
      <c r="K3" s="3"/>
      <c r="L3" s="102"/>
    </row>
    <row r="4" spans="1:12" ht="15" x14ac:dyDescent="0.25">
      <c r="A4" s="5"/>
      <c r="B4" s="4"/>
      <c r="C4" s="4"/>
      <c r="D4" s="4"/>
      <c r="E4" s="4"/>
      <c r="F4" s="4"/>
      <c r="G4" s="4"/>
      <c r="H4" s="4"/>
      <c r="I4" s="3"/>
      <c r="J4" s="3"/>
      <c r="K4" s="3"/>
      <c r="L4" s="102"/>
    </row>
    <row r="5" spans="1:12" ht="15" x14ac:dyDescent="0.25">
      <c r="A5" s="308" t="s">
        <v>1</v>
      </c>
      <c r="B5" s="308"/>
      <c r="C5" s="308"/>
      <c r="D5" s="308"/>
      <c r="E5" s="98" t="str">
        <f>Certification!J7</f>
        <v>Three Rivers Charter School</v>
      </c>
      <c r="F5" s="96"/>
      <c r="G5" s="98"/>
      <c r="H5" s="98"/>
      <c r="I5" s="3"/>
      <c r="J5" s="3"/>
      <c r="K5" s="3"/>
      <c r="L5" s="102"/>
    </row>
    <row r="6" spans="1:12" ht="15" x14ac:dyDescent="0.25">
      <c r="A6" s="308" t="s">
        <v>2</v>
      </c>
      <c r="B6" s="308"/>
      <c r="C6" s="308"/>
      <c r="D6" s="308"/>
      <c r="E6" s="98" t="str">
        <f>Certification!J8</f>
        <v>23-65565-0123737</v>
      </c>
      <c r="F6" s="97"/>
      <c r="G6" s="99"/>
      <c r="H6" s="99"/>
      <c r="I6" s="3"/>
      <c r="J6" s="3"/>
      <c r="K6" s="3"/>
      <c r="L6" s="102"/>
    </row>
    <row r="7" spans="1:12" ht="15" x14ac:dyDescent="0.25">
      <c r="A7" s="308" t="s">
        <v>3</v>
      </c>
      <c r="B7" s="308"/>
      <c r="C7" s="308"/>
      <c r="D7" s="308"/>
      <c r="E7" s="98" t="str">
        <f>Certification!J9</f>
        <v>Fort Bragg Unified School District</v>
      </c>
      <c r="F7" s="95"/>
      <c r="G7" s="99"/>
      <c r="H7" s="99"/>
      <c r="I7" s="3"/>
      <c r="J7" s="3"/>
      <c r="K7" s="3"/>
      <c r="L7" s="102"/>
    </row>
    <row r="8" spans="1:12" ht="15" x14ac:dyDescent="0.25">
      <c r="A8" s="308" t="s">
        <v>4</v>
      </c>
      <c r="B8" s="308"/>
      <c r="C8" s="308"/>
      <c r="D8" s="308"/>
      <c r="E8" s="98" t="str">
        <f>Certification!J10</f>
        <v>Mendocino</v>
      </c>
      <c r="F8" s="95"/>
      <c r="G8" s="99"/>
      <c r="H8" s="99"/>
      <c r="I8" s="3"/>
      <c r="J8" s="3"/>
      <c r="K8" s="3"/>
      <c r="L8" s="102"/>
    </row>
    <row r="9" spans="1:12" ht="15" x14ac:dyDescent="0.25">
      <c r="A9" s="308" t="s">
        <v>5</v>
      </c>
      <c r="B9" s="308"/>
      <c r="C9" s="308"/>
      <c r="D9" s="308"/>
      <c r="E9" s="98" t="str">
        <f>Certification!J11</f>
        <v>1275</v>
      </c>
      <c r="F9" s="95"/>
      <c r="G9" s="94"/>
      <c r="H9" s="94"/>
      <c r="I9" s="3"/>
      <c r="J9" s="3"/>
      <c r="K9" s="3"/>
      <c r="L9" s="102"/>
    </row>
    <row r="10" spans="1:12" ht="15" x14ac:dyDescent="0.25">
      <c r="A10" s="6"/>
      <c r="B10" s="6"/>
      <c r="C10" s="7" t="s">
        <v>6</v>
      </c>
      <c r="D10" s="7"/>
      <c r="E10" s="7"/>
      <c r="F10" s="7"/>
      <c r="G10" s="7"/>
      <c r="H10" s="8"/>
      <c r="I10" s="3"/>
      <c r="J10" s="3"/>
      <c r="K10" s="3"/>
      <c r="L10" s="102"/>
    </row>
    <row r="11" spans="1:12" ht="15" x14ac:dyDescent="0.25">
      <c r="A11" s="6"/>
      <c r="B11" s="6"/>
      <c r="C11" s="309" t="s">
        <v>7</v>
      </c>
      <c r="D11" s="310"/>
      <c r="E11" s="310"/>
      <c r="F11" s="9"/>
      <c r="G11" s="9"/>
      <c r="H11" s="8"/>
      <c r="I11" s="3"/>
      <c r="J11" s="3"/>
      <c r="K11" s="3"/>
      <c r="L11" s="102"/>
    </row>
    <row r="12" spans="1:12" ht="15" x14ac:dyDescent="0.25">
      <c r="A12" s="6"/>
      <c r="B12" s="6"/>
      <c r="C12" s="186" t="s">
        <v>168</v>
      </c>
      <c r="D12" s="11" t="s">
        <v>8</v>
      </c>
      <c r="E12" s="12"/>
      <c r="F12" s="9"/>
      <c r="G12" s="9"/>
      <c r="H12" s="8"/>
      <c r="I12" s="3"/>
      <c r="J12" s="3"/>
      <c r="K12" s="3"/>
      <c r="L12" s="102"/>
    </row>
    <row r="13" spans="1:12" ht="15" x14ac:dyDescent="0.25">
      <c r="A13" s="6"/>
      <c r="B13" s="6"/>
      <c r="C13" s="10"/>
      <c r="D13" s="11" t="s">
        <v>9</v>
      </c>
      <c r="E13" s="12"/>
      <c r="F13" s="9"/>
      <c r="G13" s="9"/>
      <c r="H13" s="8"/>
      <c r="I13" s="3"/>
      <c r="J13" s="3"/>
      <c r="K13" s="3"/>
      <c r="L13" s="102"/>
    </row>
    <row r="14" spans="1:12" ht="6" customHeight="1" thickBot="1" x14ac:dyDescent="0.25">
      <c r="A14" s="13"/>
      <c r="B14" s="1"/>
      <c r="C14" s="1"/>
      <c r="D14" s="1"/>
      <c r="E14" s="1"/>
      <c r="F14" s="2"/>
      <c r="G14" s="2"/>
      <c r="H14" s="2"/>
      <c r="I14" s="3"/>
      <c r="J14" s="3"/>
      <c r="K14" s="3"/>
      <c r="L14" s="102"/>
    </row>
    <row r="15" spans="1:12" ht="41.25" customHeight="1" thickBot="1" x14ac:dyDescent="0.3">
      <c r="A15" s="14"/>
      <c r="B15" s="15"/>
      <c r="C15" s="15"/>
      <c r="D15" s="91" t="s">
        <v>10</v>
      </c>
      <c r="E15" s="92" t="s">
        <v>11</v>
      </c>
      <c r="F15" s="93" t="s">
        <v>12</v>
      </c>
      <c r="G15" s="93" t="s">
        <v>13</v>
      </c>
      <c r="H15" s="93" t="s">
        <v>14</v>
      </c>
      <c r="I15" s="101" t="s">
        <v>169</v>
      </c>
      <c r="J15" s="101" t="s">
        <v>280</v>
      </c>
      <c r="K15" s="163" t="s">
        <v>170</v>
      </c>
      <c r="L15" s="103" t="s">
        <v>171</v>
      </c>
    </row>
    <row r="16" spans="1:12" ht="15" x14ac:dyDescent="0.25">
      <c r="A16" s="17" t="s">
        <v>15</v>
      </c>
      <c r="B16" s="18" t="s">
        <v>16</v>
      </c>
      <c r="C16" s="19"/>
      <c r="D16" s="19"/>
      <c r="E16" s="20" t="s">
        <v>17</v>
      </c>
      <c r="F16" s="108"/>
      <c r="G16" s="109"/>
      <c r="H16" s="225"/>
      <c r="I16" s="190"/>
      <c r="J16" s="191"/>
      <c r="K16" s="113"/>
      <c r="L16" s="104"/>
    </row>
    <row r="17" spans="1:12" ht="15" x14ac:dyDescent="0.25">
      <c r="A17" s="17"/>
      <c r="B17" s="21" t="s">
        <v>18</v>
      </c>
      <c r="C17" s="19" t="s">
        <v>19</v>
      </c>
      <c r="D17" s="19"/>
      <c r="E17" s="20" t="s">
        <v>17</v>
      </c>
      <c r="F17" s="108"/>
      <c r="G17" s="109"/>
      <c r="H17" s="117"/>
      <c r="I17" s="192"/>
      <c r="J17" s="193"/>
      <c r="K17" s="114"/>
      <c r="L17" s="104"/>
    </row>
    <row r="18" spans="1:12" ht="15" x14ac:dyDescent="0.25">
      <c r="A18" s="17"/>
      <c r="B18" s="18"/>
      <c r="C18" s="19"/>
      <c r="D18" s="19" t="s">
        <v>20</v>
      </c>
      <c r="E18" s="22">
        <v>8011</v>
      </c>
      <c r="F18" s="229">
        <v>239769</v>
      </c>
      <c r="G18" s="230"/>
      <c r="H18" s="231">
        <f t="shared" ref="H18:H24" si="0">SUM(F18)</f>
        <v>239769</v>
      </c>
      <c r="I18" s="192">
        <v>487345</v>
      </c>
      <c r="J18" s="193">
        <f>+I18</f>
        <v>487345</v>
      </c>
      <c r="K18" s="114"/>
      <c r="L18" s="104"/>
    </row>
    <row r="19" spans="1:12" ht="15" x14ac:dyDescent="0.25">
      <c r="A19" s="17"/>
      <c r="B19" s="18"/>
      <c r="C19" s="19"/>
      <c r="D19" s="19" t="s">
        <v>266</v>
      </c>
      <c r="E19" s="20">
        <v>8012</v>
      </c>
      <c r="F19" s="232">
        <v>70213</v>
      </c>
      <c r="G19" s="230"/>
      <c r="H19" s="231">
        <f>SUM(F19)</f>
        <v>70213</v>
      </c>
      <c r="I19" s="192">
        <v>142347</v>
      </c>
      <c r="J19" s="193">
        <f t="shared" ref="J19:J27" si="1">+I19</f>
        <v>142347</v>
      </c>
      <c r="K19" s="114">
        <f>+J19-H19</f>
        <v>72134</v>
      </c>
      <c r="L19" s="104">
        <f>1-(+(J19-K19)/J19)</f>
        <v>0.50674759566411653</v>
      </c>
    </row>
    <row r="20" spans="1:12" ht="15" x14ac:dyDescent="0.25">
      <c r="A20" s="17"/>
      <c r="B20" s="18"/>
      <c r="C20" s="19"/>
      <c r="D20" s="19" t="s">
        <v>21</v>
      </c>
      <c r="E20" s="20">
        <v>8015</v>
      </c>
      <c r="F20" s="232">
        <v>0</v>
      </c>
      <c r="G20" s="230"/>
      <c r="H20" s="231">
        <f>SUM(F20)</f>
        <v>0</v>
      </c>
      <c r="I20" s="192">
        <v>0</v>
      </c>
      <c r="J20" s="193">
        <f t="shared" si="1"/>
        <v>0</v>
      </c>
      <c r="K20" s="114">
        <f>+J20-H20</f>
        <v>0</v>
      </c>
      <c r="L20" s="104" t="e">
        <f>1-(+(J20-K20)/J20)</f>
        <v>#DIV/0!</v>
      </c>
    </row>
    <row r="21" spans="1:12" ht="15" x14ac:dyDescent="0.25">
      <c r="A21" s="17"/>
      <c r="B21" s="18"/>
      <c r="C21" s="19"/>
      <c r="D21" s="19" t="s">
        <v>22</v>
      </c>
      <c r="E21" s="23">
        <v>8019</v>
      </c>
      <c r="F21" s="232">
        <v>0</v>
      </c>
      <c r="G21" s="230"/>
      <c r="H21" s="231">
        <f t="shared" si="0"/>
        <v>0</v>
      </c>
      <c r="I21" s="192">
        <v>0</v>
      </c>
      <c r="J21" s="193">
        <f t="shared" si="1"/>
        <v>0</v>
      </c>
      <c r="K21" s="114">
        <f>+J21-H21</f>
        <v>0</v>
      </c>
      <c r="L21" s="104">
        <v>0</v>
      </c>
    </row>
    <row r="22" spans="1:12" ht="15" x14ac:dyDescent="0.25">
      <c r="A22" s="17"/>
      <c r="B22" s="18"/>
      <c r="C22" s="19"/>
      <c r="D22" s="19" t="s">
        <v>23</v>
      </c>
      <c r="E22" s="23" t="s">
        <v>24</v>
      </c>
      <c r="F22" s="232">
        <v>0</v>
      </c>
      <c r="G22" s="230"/>
      <c r="H22" s="231">
        <f t="shared" si="0"/>
        <v>0</v>
      </c>
      <c r="I22" s="192">
        <v>0</v>
      </c>
      <c r="J22" s="193">
        <f t="shared" si="1"/>
        <v>0</v>
      </c>
      <c r="K22" s="114"/>
      <c r="L22" s="104"/>
    </row>
    <row r="23" spans="1:12" ht="15" x14ac:dyDescent="0.25">
      <c r="A23" s="17"/>
      <c r="B23" s="18"/>
      <c r="C23" s="19"/>
      <c r="D23" s="19" t="s">
        <v>25</v>
      </c>
      <c r="E23" s="24" t="s">
        <v>26</v>
      </c>
      <c r="F23" s="232">
        <v>0</v>
      </c>
      <c r="G23" s="230"/>
      <c r="H23" s="231">
        <f t="shared" si="0"/>
        <v>0</v>
      </c>
      <c r="I23" s="192">
        <v>0</v>
      </c>
      <c r="J23" s="193">
        <f t="shared" si="1"/>
        <v>0</v>
      </c>
      <c r="K23" s="114"/>
      <c r="L23" s="104"/>
    </row>
    <row r="24" spans="1:12" ht="15" x14ac:dyDescent="0.25">
      <c r="A24" s="17"/>
      <c r="B24" s="18"/>
      <c r="C24" s="19"/>
      <c r="D24" s="19" t="s">
        <v>27</v>
      </c>
      <c r="E24" s="24" t="s">
        <v>28</v>
      </c>
      <c r="F24" s="232">
        <v>0</v>
      </c>
      <c r="G24" s="230"/>
      <c r="H24" s="231">
        <f t="shared" si="0"/>
        <v>0</v>
      </c>
      <c r="I24" s="192">
        <v>0</v>
      </c>
      <c r="J24" s="193">
        <f t="shared" si="1"/>
        <v>0</v>
      </c>
      <c r="K24" s="114"/>
      <c r="L24" s="104"/>
    </row>
    <row r="25" spans="1:12" ht="15" x14ac:dyDescent="0.25">
      <c r="A25" s="17"/>
      <c r="B25" s="18"/>
      <c r="C25" s="25"/>
      <c r="D25" s="19" t="s">
        <v>29</v>
      </c>
      <c r="E25" s="26" t="s">
        <v>17</v>
      </c>
      <c r="F25" s="232">
        <v>0</v>
      </c>
      <c r="G25" s="230"/>
      <c r="H25" s="234"/>
      <c r="I25" s="192">
        <v>0</v>
      </c>
      <c r="J25" s="193">
        <f t="shared" si="1"/>
        <v>0</v>
      </c>
      <c r="K25" s="114"/>
      <c r="L25" s="104"/>
    </row>
    <row r="26" spans="1:12" ht="15" x14ac:dyDescent="0.25">
      <c r="A26" s="17"/>
      <c r="B26" s="18"/>
      <c r="C26" s="19"/>
      <c r="D26" s="19" t="s">
        <v>30</v>
      </c>
      <c r="E26" s="22">
        <v>8092</v>
      </c>
      <c r="F26" s="232">
        <v>0</v>
      </c>
      <c r="G26" s="235"/>
      <c r="H26" s="236">
        <f>SUM(F26)</f>
        <v>0</v>
      </c>
      <c r="I26" s="192">
        <v>0</v>
      </c>
      <c r="J26" s="193">
        <f t="shared" si="1"/>
        <v>0</v>
      </c>
      <c r="K26" s="114"/>
      <c r="L26" s="104"/>
    </row>
    <row r="27" spans="1:12" ht="15" x14ac:dyDescent="0.25">
      <c r="A27" s="17"/>
      <c r="B27" s="18"/>
      <c r="C27" s="19"/>
      <c r="D27" s="19" t="s">
        <v>31</v>
      </c>
      <c r="E27" s="22">
        <v>8096</v>
      </c>
      <c r="F27" s="232">
        <v>0</v>
      </c>
      <c r="G27" s="232">
        <v>0</v>
      </c>
      <c r="H27" s="238"/>
      <c r="I27" s="192">
        <v>0</v>
      </c>
      <c r="J27" s="193">
        <f t="shared" si="1"/>
        <v>0</v>
      </c>
      <c r="K27" s="114"/>
      <c r="L27" s="104"/>
    </row>
    <row r="28" spans="1:12" ht="15" x14ac:dyDescent="0.25">
      <c r="A28" s="17"/>
      <c r="B28" s="18"/>
      <c r="C28" s="19"/>
      <c r="D28" s="19" t="s">
        <v>32</v>
      </c>
      <c r="E28" s="26" t="s">
        <v>17</v>
      </c>
      <c r="F28" s="239">
        <f>SUM(F18:F27)</f>
        <v>309982</v>
      </c>
      <c r="G28" s="239">
        <f>SUM(G27)</f>
        <v>0</v>
      </c>
      <c r="H28" s="240">
        <f>SUM(F28:G28)</f>
        <v>309982</v>
      </c>
      <c r="I28" s="194">
        <f>SUM(I18:I27)</f>
        <v>629692</v>
      </c>
      <c r="J28" s="195">
        <f>SUM(J18:J27)</f>
        <v>629692</v>
      </c>
      <c r="K28" s="118">
        <f>+J28-H28</f>
        <v>319710</v>
      </c>
      <c r="L28" s="111">
        <f>1-(+(J28-K28)/J28)</f>
        <v>0.50772441129949253</v>
      </c>
    </row>
    <row r="29" spans="1:12" ht="15" x14ac:dyDescent="0.25">
      <c r="A29" s="17"/>
      <c r="B29" s="18"/>
      <c r="C29" s="19"/>
      <c r="D29" s="19"/>
      <c r="E29" s="20" t="s">
        <v>17</v>
      </c>
      <c r="F29" s="241"/>
      <c r="G29" s="242"/>
      <c r="H29" s="243"/>
      <c r="I29" s="192"/>
      <c r="J29" s="193"/>
      <c r="K29" s="114"/>
      <c r="L29" s="104"/>
    </row>
    <row r="30" spans="1:12" ht="15" x14ac:dyDescent="0.25">
      <c r="A30" s="17"/>
      <c r="B30" s="21" t="s">
        <v>33</v>
      </c>
      <c r="C30" s="19" t="s">
        <v>34</v>
      </c>
      <c r="D30" s="19"/>
      <c r="E30" s="20" t="s">
        <v>17</v>
      </c>
      <c r="F30" s="230"/>
      <c r="G30" s="244"/>
      <c r="H30" s="238"/>
      <c r="I30" s="192"/>
      <c r="J30" s="193"/>
      <c r="K30" s="114"/>
      <c r="L30" s="104"/>
    </row>
    <row r="31" spans="1:12" ht="15" x14ac:dyDescent="0.25">
      <c r="A31" s="17"/>
      <c r="B31" s="19"/>
      <c r="C31" s="19"/>
      <c r="D31" s="19" t="s">
        <v>35</v>
      </c>
      <c r="E31" s="24">
        <v>8290</v>
      </c>
      <c r="F31" s="230"/>
      <c r="G31" s="229">
        <v>14299</v>
      </c>
      <c r="H31" s="231">
        <f>SUM(G31)</f>
        <v>14299</v>
      </c>
      <c r="I31" s="192">
        <v>0</v>
      </c>
      <c r="J31" s="193">
        <f t="shared" ref="J31:J34" si="2">+I31</f>
        <v>0</v>
      </c>
      <c r="K31" s="114"/>
      <c r="L31" s="104"/>
    </row>
    <row r="32" spans="1:12" ht="15" x14ac:dyDescent="0.25">
      <c r="A32" s="17"/>
      <c r="B32" s="19"/>
      <c r="C32" s="19"/>
      <c r="D32" s="19" t="s">
        <v>36</v>
      </c>
      <c r="E32" s="23" t="s">
        <v>37</v>
      </c>
      <c r="F32" s="230"/>
      <c r="G32" s="229">
        <v>0</v>
      </c>
      <c r="H32" s="231">
        <f>SUM(G32)</f>
        <v>0</v>
      </c>
      <c r="I32" s="192">
        <v>0</v>
      </c>
      <c r="J32" s="193">
        <f t="shared" si="2"/>
        <v>0</v>
      </c>
      <c r="K32" s="114"/>
      <c r="L32" s="104"/>
    </row>
    <row r="33" spans="1:12" ht="15" x14ac:dyDescent="0.25">
      <c r="A33" s="17"/>
      <c r="B33" s="19"/>
      <c r="C33" s="19"/>
      <c r="D33" s="19" t="s">
        <v>38</v>
      </c>
      <c r="E33" s="26">
        <v>8220</v>
      </c>
      <c r="F33" s="235"/>
      <c r="G33" s="229">
        <v>0</v>
      </c>
      <c r="H33" s="231">
        <f>SUM(G33)</f>
        <v>0</v>
      </c>
      <c r="I33" s="192">
        <v>0</v>
      </c>
      <c r="J33" s="193">
        <f t="shared" si="2"/>
        <v>0</v>
      </c>
      <c r="K33" s="114"/>
      <c r="L33" s="104"/>
    </row>
    <row r="34" spans="1:12" ht="15" x14ac:dyDescent="0.25">
      <c r="A34" s="17"/>
      <c r="B34" s="19"/>
      <c r="C34" s="19"/>
      <c r="D34" s="19" t="s">
        <v>39</v>
      </c>
      <c r="E34" s="100" t="s">
        <v>40</v>
      </c>
      <c r="F34" s="229">
        <v>0</v>
      </c>
      <c r="G34" s="229">
        <f>1361+999</f>
        <v>2360</v>
      </c>
      <c r="H34" s="248">
        <f>SUM(F34:G34)</f>
        <v>2360</v>
      </c>
      <c r="I34" s="192">
        <v>0</v>
      </c>
      <c r="J34" s="193">
        <f t="shared" si="2"/>
        <v>0</v>
      </c>
      <c r="K34" s="114">
        <f>+J34-H34</f>
        <v>-2360</v>
      </c>
      <c r="L34" s="104" t="e">
        <f>1-(+(J34-K34)/J34)</f>
        <v>#DIV/0!</v>
      </c>
    </row>
    <row r="35" spans="1:12" ht="15" x14ac:dyDescent="0.25">
      <c r="A35" s="17"/>
      <c r="B35" s="19"/>
      <c r="C35" s="19"/>
      <c r="D35" s="19" t="s">
        <v>41</v>
      </c>
      <c r="E35" s="26" t="s">
        <v>17</v>
      </c>
      <c r="F35" s="249">
        <f>SUM(F34)</f>
        <v>0</v>
      </c>
      <c r="G35" s="249">
        <f>SUM(G31:G34)</f>
        <v>16659</v>
      </c>
      <c r="H35" s="250">
        <f>SUM(F35:G35)</f>
        <v>16659</v>
      </c>
      <c r="I35" s="194">
        <f>SUM(I31:I34)</f>
        <v>0</v>
      </c>
      <c r="J35" s="195">
        <f>SUM(J31:J34)</f>
        <v>0</v>
      </c>
      <c r="K35" s="118">
        <f>+J35-H35</f>
        <v>-16659</v>
      </c>
      <c r="L35" s="111" t="e">
        <f>1-(+(J35-K35)/J35)</f>
        <v>#DIV/0!</v>
      </c>
    </row>
    <row r="36" spans="1:12" ht="15" x14ac:dyDescent="0.25">
      <c r="A36" s="17"/>
      <c r="B36" s="19"/>
      <c r="C36" s="19"/>
      <c r="D36" s="19"/>
      <c r="E36" s="20" t="s">
        <v>17</v>
      </c>
      <c r="F36" s="242"/>
      <c r="G36" s="241"/>
      <c r="H36" s="243"/>
      <c r="I36" s="192"/>
      <c r="J36" s="193"/>
      <c r="K36" s="114"/>
      <c r="L36" s="104"/>
    </row>
    <row r="37" spans="1:12" ht="15" x14ac:dyDescent="0.25">
      <c r="A37" s="27"/>
      <c r="B37" s="21" t="s">
        <v>42</v>
      </c>
      <c r="C37" s="19" t="s">
        <v>43</v>
      </c>
      <c r="D37" s="19"/>
      <c r="E37" s="20" t="s">
        <v>17</v>
      </c>
      <c r="F37" s="244"/>
      <c r="G37" s="230"/>
      <c r="H37" s="238"/>
      <c r="I37" s="192"/>
      <c r="J37" s="193"/>
      <c r="K37" s="114"/>
      <c r="L37" s="104"/>
    </row>
    <row r="38" spans="1:12" ht="15" x14ac:dyDescent="0.25">
      <c r="A38" s="27"/>
      <c r="B38" s="21"/>
      <c r="C38" s="19"/>
      <c r="D38" s="19" t="s">
        <v>44</v>
      </c>
      <c r="E38" s="22">
        <v>8480</v>
      </c>
      <c r="F38" s="229">
        <v>0</v>
      </c>
      <c r="G38" s="235"/>
      <c r="H38" s="231">
        <f>SUM(F38)</f>
        <v>0</v>
      </c>
      <c r="I38" s="192">
        <v>0</v>
      </c>
      <c r="J38" s="193">
        <f t="shared" ref="J38:J40" si="3">+I38</f>
        <v>0</v>
      </c>
      <c r="K38" s="114">
        <f>+J38-H38</f>
        <v>0</v>
      </c>
      <c r="L38" s="104" t="e">
        <f>1-(+(J38-K38)/J38)</f>
        <v>#DIV/0!</v>
      </c>
    </row>
    <row r="39" spans="1:12" ht="15" x14ac:dyDescent="0.25">
      <c r="A39" s="27"/>
      <c r="B39" s="21"/>
      <c r="C39" s="19"/>
      <c r="D39" s="19" t="s">
        <v>45</v>
      </c>
      <c r="E39" s="26" t="s">
        <v>46</v>
      </c>
      <c r="F39" s="251"/>
      <c r="G39" s="233">
        <v>0</v>
      </c>
      <c r="H39" s="231">
        <f>SUM(G39)</f>
        <v>0</v>
      </c>
      <c r="I39" s="192">
        <v>0</v>
      </c>
      <c r="J39" s="193">
        <f t="shared" si="3"/>
        <v>0</v>
      </c>
      <c r="K39" s="114"/>
      <c r="L39" s="104"/>
    </row>
    <row r="40" spans="1:12" ht="14.25" x14ac:dyDescent="0.2">
      <c r="A40" s="27"/>
      <c r="B40" s="19"/>
      <c r="C40" s="19"/>
      <c r="D40" s="19" t="s">
        <v>47</v>
      </c>
      <c r="E40" s="28" t="s">
        <v>48</v>
      </c>
      <c r="F40" s="252">
        <f>7639+6295.48+13473+1203.54-G40</f>
        <v>15138.02</v>
      </c>
      <c r="G40" s="247">
        <v>13473</v>
      </c>
      <c r="H40" s="248">
        <f>SUM(F40:G40)</f>
        <v>28611.02</v>
      </c>
      <c r="I40" s="192">
        <v>68988</v>
      </c>
      <c r="J40" s="193">
        <f t="shared" si="3"/>
        <v>68988</v>
      </c>
      <c r="K40" s="114">
        <f>+J40-H40</f>
        <v>40376.979999999996</v>
      </c>
      <c r="L40" s="104">
        <f>1-(+(J40-K40)/J40)</f>
        <v>0.58527541021626939</v>
      </c>
    </row>
    <row r="41" spans="1:12" ht="14.25" x14ac:dyDescent="0.2">
      <c r="A41" s="27"/>
      <c r="B41" s="19"/>
      <c r="C41" s="19"/>
      <c r="D41" s="13" t="s">
        <v>49</v>
      </c>
      <c r="E41" s="26" t="s">
        <v>17</v>
      </c>
      <c r="F41" s="249">
        <f>SUM(F38,F40)</f>
        <v>15138.02</v>
      </c>
      <c r="G41" s="249">
        <f>SUM(G39,G40)</f>
        <v>13473</v>
      </c>
      <c r="H41" s="250">
        <f>SUM(F41:G41)</f>
        <v>28611.02</v>
      </c>
      <c r="I41" s="194">
        <f>SUM(I38:I40)</f>
        <v>68988</v>
      </c>
      <c r="J41" s="195">
        <f>SUM(J38:J40)</f>
        <v>68988</v>
      </c>
      <c r="K41" s="118">
        <f>+J41-H41</f>
        <v>40376.979999999996</v>
      </c>
      <c r="L41" s="111">
        <f>1-(+(J41-K41)/J41)</f>
        <v>0.58527541021626939</v>
      </c>
    </row>
    <row r="42" spans="1:12" ht="14.25" x14ac:dyDescent="0.2">
      <c r="A42" s="27"/>
      <c r="B42" s="19"/>
      <c r="C42" s="19"/>
      <c r="D42" s="13"/>
      <c r="E42" s="20" t="s">
        <v>17</v>
      </c>
      <c r="F42" s="242"/>
      <c r="G42" s="241"/>
      <c r="H42" s="243"/>
      <c r="I42" s="192"/>
      <c r="J42" s="193"/>
      <c r="K42" s="114"/>
      <c r="L42" s="104"/>
    </row>
    <row r="43" spans="1:12" ht="15" x14ac:dyDescent="0.25">
      <c r="A43" s="27"/>
      <c r="B43" s="21" t="s">
        <v>50</v>
      </c>
      <c r="C43" s="19" t="s">
        <v>51</v>
      </c>
      <c r="D43" s="19"/>
      <c r="E43" s="20" t="s">
        <v>17</v>
      </c>
      <c r="F43" s="244"/>
      <c r="G43" s="230"/>
      <c r="H43" s="238"/>
      <c r="I43" s="192"/>
      <c r="J43" s="193"/>
      <c r="K43" s="114"/>
      <c r="L43" s="104"/>
    </row>
    <row r="44" spans="1:12" ht="15" x14ac:dyDescent="0.25">
      <c r="A44" s="27"/>
      <c r="B44" s="21"/>
      <c r="C44" s="19"/>
      <c r="D44" s="29" t="s">
        <v>52</v>
      </c>
      <c r="E44" s="20" t="s">
        <v>17</v>
      </c>
      <c r="F44" s="244"/>
      <c r="G44" s="230"/>
      <c r="H44" s="238"/>
      <c r="I44" s="192"/>
      <c r="J44" s="193"/>
      <c r="K44" s="114"/>
      <c r="L44" s="104"/>
    </row>
    <row r="45" spans="1:12" ht="15" x14ac:dyDescent="0.25">
      <c r="A45" s="27"/>
      <c r="B45" s="18" t="s">
        <v>17</v>
      </c>
      <c r="C45" s="19"/>
      <c r="D45" s="29" t="s">
        <v>53</v>
      </c>
      <c r="E45" s="30">
        <v>8096</v>
      </c>
      <c r="F45" s="229">
        <v>256047</v>
      </c>
      <c r="G45" s="235"/>
      <c r="H45" s="231">
        <f>SUM(F45)</f>
        <v>256047</v>
      </c>
      <c r="I45" s="192">
        <v>355750</v>
      </c>
      <c r="J45" s="193">
        <f t="shared" ref="J45:J46" si="4">+I45</f>
        <v>355750</v>
      </c>
      <c r="K45" s="114">
        <f>+J45-H45</f>
        <v>99703</v>
      </c>
      <c r="L45" s="104">
        <f>1-(+(J45-K45)/J45)</f>
        <v>0.2802614195361911</v>
      </c>
    </row>
    <row r="46" spans="1:12" ht="14.25" x14ac:dyDescent="0.2">
      <c r="A46" s="27"/>
      <c r="B46" s="19"/>
      <c r="C46" s="19"/>
      <c r="D46" s="19" t="s">
        <v>54</v>
      </c>
      <c r="E46" s="28" t="s">
        <v>55</v>
      </c>
      <c r="F46" s="246">
        <v>31803.87</v>
      </c>
      <c r="G46" s="247">
        <v>0</v>
      </c>
      <c r="H46" s="248">
        <f>SUM(F46:G46)</f>
        <v>31803.87</v>
      </c>
      <c r="I46" s="196">
        <f>2000+30000.04</f>
        <v>32000.04</v>
      </c>
      <c r="J46" s="193">
        <f t="shared" si="4"/>
        <v>32000.04</v>
      </c>
      <c r="K46" s="114">
        <f>+J46-H46</f>
        <v>196.17000000000189</v>
      </c>
      <c r="L46" s="104">
        <f>1-(+(J46-K46)/J46)</f>
        <v>6.1303048371189606E-3</v>
      </c>
    </row>
    <row r="47" spans="1:12" ht="14.25" x14ac:dyDescent="0.2">
      <c r="A47" s="27"/>
      <c r="B47" s="19"/>
      <c r="C47" s="19"/>
      <c r="D47" s="19" t="s">
        <v>56</v>
      </c>
      <c r="E47" s="26" t="s">
        <v>17</v>
      </c>
      <c r="F47" s="249">
        <f>SUM(F45,F46)</f>
        <v>287850.87</v>
      </c>
      <c r="G47" s="249">
        <f>SUM(G46)</f>
        <v>0</v>
      </c>
      <c r="H47" s="250">
        <f>SUM(F47:G47)</f>
        <v>287850.87</v>
      </c>
      <c r="I47" s="194">
        <f>SUM(I45:I46)</f>
        <v>387750.04</v>
      </c>
      <c r="J47" s="195">
        <f>SUM(J45:J46)</f>
        <v>387750.04</v>
      </c>
      <c r="K47" s="118">
        <f>+J47-H47</f>
        <v>99899.169999999984</v>
      </c>
      <c r="L47" s="111">
        <f>1-(+(J47-K47)/J47)</f>
        <v>0.2576380649760861</v>
      </c>
    </row>
    <row r="48" spans="1:12" ht="14.25" x14ac:dyDescent="0.2">
      <c r="A48" s="27"/>
      <c r="B48" s="19"/>
      <c r="C48" s="19" t="s">
        <v>17</v>
      </c>
      <c r="D48" s="19" t="s">
        <v>17</v>
      </c>
      <c r="E48" s="20" t="s">
        <v>17</v>
      </c>
      <c r="F48" s="253"/>
      <c r="G48" s="253"/>
      <c r="H48" s="243"/>
      <c r="I48" s="197"/>
      <c r="J48" s="198"/>
      <c r="K48" s="119"/>
      <c r="L48" s="110"/>
    </row>
    <row r="49" spans="1:12" ht="15" x14ac:dyDescent="0.25">
      <c r="A49" s="27"/>
      <c r="B49" s="31" t="s">
        <v>57</v>
      </c>
      <c r="C49" s="32" t="s">
        <v>58</v>
      </c>
      <c r="D49" s="32"/>
      <c r="E49" s="20" t="s">
        <v>17</v>
      </c>
      <c r="F49" s="254">
        <f>SUM(F28,F35,F41,F47)</f>
        <v>612970.89</v>
      </c>
      <c r="G49" s="254">
        <f>SUM(G28,G35,G41,G47)</f>
        <v>30132</v>
      </c>
      <c r="H49" s="255">
        <f>SUM(F49:G49)</f>
        <v>643102.89</v>
      </c>
      <c r="I49" s="199">
        <f>SUM(I28,I35,I41,I47)</f>
        <v>1086430.04</v>
      </c>
      <c r="J49" s="200">
        <f>SUM(J28,J35,J41,J47)</f>
        <v>1086430.04</v>
      </c>
      <c r="K49" s="120">
        <f>+J49-H49</f>
        <v>443327.15</v>
      </c>
      <c r="L49" s="128">
        <f>1-(+(J49-K49)/J49)</f>
        <v>0.40805862658215897</v>
      </c>
    </row>
    <row r="50" spans="1:12" ht="15" x14ac:dyDescent="0.25">
      <c r="A50" s="27"/>
      <c r="B50" s="31"/>
      <c r="C50" s="32"/>
      <c r="D50" s="32"/>
      <c r="E50" s="20" t="s">
        <v>17</v>
      </c>
      <c r="F50" s="242"/>
      <c r="G50" s="242"/>
      <c r="H50" s="238"/>
      <c r="I50" s="192"/>
      <c r="J50" s="193"/>
      <c r="K50" s="114"/>
      <c r="L50" s="104"/>
    </row>
    <row r="51" spans="1:12" ht="15" x14ac:dyDescent="0.25">
      <c r="A51" s="33" t="s">
        <v>59</v>
      </c>
      <c r="B51" s="18" t="s">
        <v>60</v>
      </c>
      <c r="C51" s="19"/>
      <c r="D51" s="19"/>
      <c r="E51" s="20" t="s">
        <v>17</v>
      </c>
      <c r="F51" s="244"/>
      <c r="G51" s="244"/>
      <c r="H51" s="238"/>
      <c r="I51" s="192"/>
      <c r="J51" s="193"/>
      <c r="K51" s="114"/>
      <c r="L51" s="104"/>
    </row>
    <row r="52" spans="1:12" ht="15" x14ac:dyDescent="0.25">
      <c r="A52" s="27"/>
      <c r="B52" s="21" t="s">
        <v>18</v>
      </c>
      <c r="C52" s="19" t="s">
        <v>61</v>
      </c>
      <c r="D52" s="19"/>
      <c r="E52" s="20" t="s">
        <v>17</v>
      </c>
      <c r="F52" s="244"/>
      <c r="G52" s="244"/>
      <c r="H52" s="238"/>
      <c r="I52" s="192"/>
      <c r="J52" s="193"/>
      <c r="K52" s="114"/>
      <c r="L52" s="104"/>
    </row>
    <row r="53" spans="1:12" ht="14.25" x14ac:dyDescent="0.2">
      <c r="A53" s="27"/>
      <c r="B53" s="19"/>
      <c r="C53" s="19"/>
      <c r="D53" s="19" t="s">
        <v>62</v>
      </c>
      <c r="E53" s="30">
        <v>1100</v>
      </c>
      <c r="F53" s="229">
        <f>137046.92+960-G53</f>
        <v>138006.92000000001</v>
      </c>
      <c r="G53" s="229">
        <v>0</v>
      </c>
      <c r="H53" s="231">
        <f>SUM(F53:G53)</f>
        <v>138006.92000000001</v>
      </c>
      <c r="I53" s="192">
        <f>248673.04+2400</f>
        <v>251073.04</v>
      </c>
      <c r="J53" s="193">
        <f t="shared" ref="J53:J56" si="5">+I53</f>
        <v>251073.04</v>
      </c>
      <c r="K53" s="114">
        <f>+J53-H53</f>
        <v>113066.12</v>
      </c>
      <c r="L53" s="104">
        <f>1-(+(J53-K53)/J53)</f>
        <v>0.45033158478504898</v>
      </c>
    </row>
    <row r="54" spans="1:12" ht="14.25" x14ac:dyDescent="0.2">
      <c r="A54" s="27"/>
      <c r="B54" s="19"/>
      <c r="C54" s="19"/>
      <c r="D54" s="19" t="s">
        <v>63</v>
      </c>
      <c r="E54" s="34">
        <v>1200</v>
      </c>
      <c r="F54" s="245">
        <v>0</v>
      </c>
      <c r="G54" s="245">
        <v>0</v>
      </c>
      <c r="H54" s="231">
        <f>SUM(F54:G54)</f>
        <v>0</v>
      </c>
      <c r="I54" s="192">
        <v>0</v>
      </c>
      <c r="J54" s="193">
        <f t="shared" si="5"/>
        <v>0</v>
      </c>
      <c r="K54" s="114"/>
      <c r="L54" s="104"/>
    </row>
    <row r="55" spans="1:12" ht="14.25" x14ac:dyDescent="0.2">
      <c r="A55" s="27"/>
      <c r="B55" s="19"/>
      <c r="C55" s="19"/>
      <c r="D55" s="19" t="s">
        <v>64</v>
      </c>
      <c r="E55" s="35">
        <v>1300</v>
      </c>
      <c r="F55" s="245">
        <f>40343.21-G55</f>
        <v>40343.21</v>
      </c>
      <c r="G55" s="245">
        <v>0</v>
      </c>
      <c r="H55" s="231">
        <f>SUM(F55:G55)</f>
        <v>40343.21</v>
      </c>
      <c r="I55" s="192">
        <v>68450</v>
      </c>
      <c r="J55" s="193">
        <f t="shared" si="5"/>
        <v>68450</v>
      </c>
      <c r="K55" s="114">
        <f>+J55-H55</f>
        <v>28106.79</v>
      </c>
      <c r="L55" s="104">
        <f>1-(+(J55-K55)/J55)</f>
        <v>0.41061782322863405</v>
      </c>
    </row>
    <row r="56" spans="1:12" ht="14.25" x14ac:dyDescent="0.2">
      <c r="A56" s="27"/>
      <c r="B56" s="19"/>
      <c r="C56" s="19"/>
      <c r="D56" s="19" t="s">
        <v>65</v>
      </c>
      <c r="E56" s="34">
        <v>1900</v>
      </c>
      <c r="F56" s="246">
        <v>0</v>
      </c>
      <c r="G56" s="247">
        <v>0</v>
      </c>
      <c r="H56" s="248">
        <f>SUM(F56:G56)</f>
        <v>0</v>
      </c>
      <c r="I56" s="192">
        <v>0</v>
      </c>
      <c r="J56" s="193">
        <f t="shared" si="5"/>
        <v>0</v>
      </c>
      <c r="K56" s="114"/>
      <c r="L56" s="104"/>
    </row>
    <row r="57" spans="1:12" ht="14.25" x14ac:dyDescent="0.2">
      <c r="A57" s="27"/>
      <c r="B57" s="19"/>
      <c r="C57" s="19"/>
      <c r="D57" s="19" t="s">
        <v>66</v>
      </c>
      <c r="E57" s="26" t="s">
        <v>17</v>
      </c>
      <c r="F57" s="249">
        <f>SUM(F53:F56)</f>
        <v>178350.13</v>
      </c>
      <c r="G57" s="249">
        <f>SUM(G53:G56)</f>
        <v>0</v>
      </c>
      <c r="H57" s="250">
        <f>SUM(F57:G57)</f>
        <v>178350.13</v>
      </c>
      <c r="I57" s="194">
        <f>SUM(I53:I56)</f>
        <v>319523.04000000004</v>
      </c>
      <c r="J57" s="195">
        <f>SUM(J53:J56)</f>
        <v>319523.04000000004</v>
      </c>
      <c r="K57" s="118">
        <f>+J57-H57</f>
        <v>141172.91000000003</v>
      </c>
      <c r="L57" s="111">
        <f>1-(+(J57-K57)/J57)</f>
        <v>0.44182388224648839</v>
      </c>
    </row>
    <row r="58" spans="1:12" ht="14.25" x14ac:dyDescent="0.2">
      <c r="A58" s="36"/>
      <c r="B58" s="13"/>
      <c r="C58" s="13"/>
      <c r="D58" s="13"/>
      <c r="E58" s="20" t="s">
        <v>17</v>
      </c>
      <c r="F58" s="242"/>
      <c r="G58" s="242"/>
      <c r="H58" s="243"/>
      <c r="I58" s="192"/>
      <c r="J58" s="193"/>
      <c r="K58" s="114"/>
      <c r="L58" s="104"/>
    </row>
    <row r="59" spans="1:12" ht="15" x14ac:dyDescent="0.25">
      <c r="A59" s="36"/>
      <c r="B59" s="37" t="s">
        <v>33</v>
      </c>
      <c r="C59" s="13" t="s">
        <v>67</v>
      </c>
      <c r="D59" s="13"/>
      <c r="E59" s="20" t="s">
        <v>17</v>
      </c>
      <c r="F59" s="244"/>
      <c r="G59" s="244"/>
      <c r="H59" s="238"/>
      <c r="I59" s="192"/>
      <c r="J59" s="193"/>
      <c r="K59" s="114"/>
      <c r="L59" s="104"/>
    </row>
    <row r="60" spans="1:12" ht="15" x14ac:dyDescent="0.25">
      <c r="A60" s="36"/>
      <c r="B60" s="37"/>
      <c r="C60" s="13"/>
      <c r="D60" s="13" t="s">
        <v>68</v>
      </c>
      <c r="E60" s="30">
        <v>2100</v>
      </c>
      <c r="F60" s="229">
        <f>47388.8-G60</f>
        <v>32171.280000000002</v>
      </c>
      <c r="G60" s="229">
        <v>15217.52</v>
      </c>
      <c r="H60" s="231">
        <f t="shared" ref="H60:H65" si="6">SUM(F60:G60)</f>
        <v>47388.800000000003</v>
      </c>
      <c r="I60" s="192">
        <v>89275</v>
      </c>
      <c r="J60" s="193">
        <f t="shared" ref="J60:J64" si="7">+I60</f>
        <v>89275</v>
      </c>
      <c r="K60" s="114">
        <f t="shared" ref="K60:K65" si="8">+J60-H60</f>
        <v>41886.199999999997</v>
      </c>
      <c r="L60" s="104">
        <f t="shared" ref="L60:L65" si="9">1-(+(J60-K60)/J60)</f>
        <v>0.46918174180901706</v>
      </c>
    </row>
    <row r="61" spans="1:12" ht="14.25" x14ac:dyDescent="0.2">
      <c r="A61" s="27"/>
      <c r="B61" s="19"/>
      <c r="C61" s="19"/>
      <c r="D61" s="19" t="s">
        <v>69</v>
      </c>
      <c r="E61" s="34">
        <v>2200</v>
      </c>
      <c r="F61" s="245">
        <v>0</v>
      </c>
      <c r="G61" s="245">
        <v>0</v>
      </c>
      <c r="H61" s="231">
        <f t="shared" si="6"/>
        <v>0</v>
      </c>
      <c r="I61" s="192">
        <v>21267</v>
      </c>
      <c r="J61" s="193">
        <f t="shared" si="7"/>
        <v>21267</v>
      </c>
      <c r="K61" s="114">
        <f t="shared" si="8"/>
        <v>21267</v>
      </c>
      <c r="L61" s="104">
        <f t="shared" si="9"/>
        <v>1</v>
      </c>
    </row>
    <row r="62" spans="1:12" ht="14.25" x14ac:dyDescent="0.2">
      <c r="A62" s="27"/>
      <c r="B62" s="19"/>
      <c r="C62" s="19"/>
      <c r="D62" s="19" t="s">
        <v>70</v>
      </c>
      <c r="E62" s="34">
        <v>2300</v>
      </c>
      <c r="F62" s="245">
        <v>0</v>
      </c>
      <c r="G62" s="245">
        <v>0</v>
      </c>
      <c r="H62" s="231">
        <f t="shared" si="6"/>
        <v>0</v>
      </c>
      <c r="I62" s="192">
        <v>0</v>
      </c>
      <c r="J62" s="193">
        <f t="shared" si="7"/>
        <v>0</v>
      </c>
      <c r="K62" s="114">
        <f t="shared" si="8"/>
        <v>0</v>
      </c>
      <c r="L62" s="104" t="e">
        <f t="shared" si="9"/>
        <v>#DIV/0!</v>
      </c>
    </row>
    <row r="63" spans="1:12" ht="14.25" x14ac:dyDescent="0.2">
      <c r="A63" s="27"/>
      <c r="B63" s="19"/>
      <c r="C63" s="19"/>
      <c r="D63" s="19" t="s">
        <v>71</v>
      </c>
      <c r="E63" s="35">
        <v>2400</v>
      </c>
      <c r="F63" s="245">
        <f>10712-G63</f>
        <v>10712</v>
      </c>
      <c r="G63" s="245">
        <v>0</v>
      </c>
      <c r="H63" s="231">
        <f t="shared" si="6"/>
        <v>10712</v>
      </c>
      <c r="I63" s="192">
        <v>21384</v>
      </c>
      <c r="J63" s="193">
        <f t="shared" si="7"/>
        <v>21384</v>
      </c>
      <c r="K63" s="114">
        <f t="shared" si="8"/>
        <v>10672</v>
      </c>
      <c r="L63" s="104">
        <f t="shared" si="9"/>
        <v>0.49906472128694346</v>
      </c>
    </row>
    <row r="64" spans="1:12" ht="14.25" x14ac:dyDescent="0.2">
      <c r="A64" s="27"/>
      <c r="B64" s="19"/>
      <c r="C64" s="19"/>
      <c r="D64" s="19" t="s">
        <v>72</v>
      </c>
      <c r="E64" s="34">
        <v>2900</v>
      </c>
      <c r="F64" s="246">
        <v>0</v>
      </c>
      <c r="G64" s="247">
        <v>0</v>
      </c>
      <c r="H64" s="248">
        <f t="shared" si="6"/>
        <v>0</v>
      </c>
      <c r="I64" s="192">
        <v>0</v>
      </c>
      <c r="J64" s="193">
        <f t="shared" si="7"/>
        <v>0</v>
      </c>
      <c r="K64" s="114">
        <f t="shared" si="8"/>
        <v>0</v>
      </c>
      <c r="L64" s="104" t="e">
        <f t="shared" si="9"/>
        <v>#DIV/0!</v>
      </c>
    </row>
    <row r="65" spans="1:12" ht="14.25" x14ac:dyDescent="0.2">
      <c r="A65" s="38"/>
      <c r="B65" s="39"/>
      <c r="C65" s="39"/>
      <c r="D65" s="39" t="s">
        <v>73</v>
      </c>
      <c r="E65" s="40" t="s">
        <v>17</v>
      </c>
      <c r="F65" s="249">
        <f>SUM(F60:F64)</f>
        <v>42883.28</v>
      </c>
      <c r="G65" s="249">
        <f>SUM(G60:G64)</f>
        <v>15217.52</v>
      </c>
      <c r="H65" s="250">
        <f t="shared" si="6"/>
        <v>58100.800000000003</v>
      </c>
      <c r="I65" s="194">
        <f>SUM(I60:I64)</f>
        <v>131926</v>
      </c>
      <c r="J65" s="195">
        <f>SUM(J60:J64)</f>
        <v>131926</v>
      </c>
      <c r="K65" s="118">
        <f t="shared" si="8"/>
        <v>73825.2</v>
      </c>
      <c r="L65" s="111">
        <f t="shared" si="9"/>
        <v>0.55959553082788838</v>
      </c>
    </row>
    <row r="66" spans="1:12" ht="30" x14ac:dyDescent="0.25">
      <c r="A66" s="14"/>
      <c r="B66" s="15"/>
      <c r="C66" s="15"/>
      <c r="D66" s="16" t="s">
        <v>10</v>
      </c>
      <c r="E66" s="50" t="s">
        <v>11</v>
      </c>
      <c r="F66" s="256" t="s">
        <v>12</v>
      </c>
      <c r="G66" s="256" t="s">
        <v>13</v>
      </c>
      <c r="H66" s="257" t="s">
        <v>14</v>
      </c>
      <c r="I66" s="187"/>
      <c r="J66" s="188"/>
      <c r="K66" s="121" t="s">
        <v>170</v>
      </c>
      <c r="L66" s="112" t="s">
        <v>171</v>
      </c>
    </row>
    <row r="67" spans="1:12" ht="15" x14ac:dyDescent="0.25">
      <c r="A67" s="27"/>
      <c r="B67" s="21" t="s">
        <v>42</v>
      </c>
      <c r="C67" s="19" t="s">
        <v>74</v>
      </c>
      <c r="D67" s="19"/>
      <c r="E67" s="20" t="s">
        <v>17</v>
      </c>
      <c r="F67" s="242"/>
      <c r="G67" s="242"/>
      <c r="H67" s="238"/>
      <c r="I67" s="192"/>
      <c r="J67" s="193"/>
      <c r="K67" s="114"/>
      <c r="L67" s="104"/>
    </row>
    <row r="68" spans="1:12" ht="14.25" x14ac:dyDescent="0.2">
      <c r="A68" s="27"/>
      <c r="B68" s="19"/>
      <c r="C68" s="19"/>
      <c r="D68" s="41" t="s">
        <v>75</v>
      </c>
      <c r="E68" s="42" t="s">
        <v>76</v>
      </c>
      <c r="F68" s="229">
        <f>25646.34-G68</f>
        <v>25646.34</v>
      </c>
      <c r="G68" s="229">
        <v>0</v>
      </c>
      <c r="H68" s="231">
        <f>SUM(F68:G68)</f>
        <v>25646.34</v>
      </c>
      <c r="I68" s="201">
        <v>46107</v>
      </c>
      <c r="J68" s="193">
        <f t="shared" ref="J68:J76" si="10">+I68</f>
        <v>46107</v>
      </c>
      <c r="K68" s="114">
        <f t="shared" ref="K68:K76" si="11">+J68-H68</f>
        <v>20460.66</v>
      </c>
      <c r="L68" s="104">
        <f t="shared" ref="L68:L76" si="12">1-(+(J68-K68)/J68)</f>
        <v>0.44376472119200994</v>
      </c>
    </row>
    <row r="69" spans="1:12" ht="14.25" x14ac:dyDescent="0.2">
      <c r="A69" s="27"/>
      <c r="B69" s="19"/>
      <c r="C69" s="19"/>
      <c r="D69" s="41" t="s">
        <v>77</v>
      </c>
      <c r="E69" s="43" t="s">
        <v>78</v>
      </c>
      <c r="F69" s="245">
        <v>0</v>
      </c>
      <c r="G69" s="245">
        <v>0</v>
      </c>
      <c r="H69" s="231">
        <f t="shared" ref="H69:H76" si="13">SUM(F69:G69)</f>
        <v>0</v>
      </c>
      <c r="I69" s="201">
        <v>0</v>
      </c>
      <c r="J69" s="193">
        <f t="shared" si="10"/>
        <v>0</v>
      </c>
      <c r="K69" s="114">
        <f t="shared" si="11"/>
        <v>0</v>
      </c>
      <c r="L69" s="104" t="e">
        <f t="shared" si="12"/>
        <v>#DIV/0!</v>
      </c>
    </row>
    <row r="70" spans="1:12" ht="14.25" x14ac:dyDescent="0.2">
      <c r="A70" s="27"/>
      <c r="B70" s="19"/>
      <c r="C70" s="19"/>
      <c r="D70" s="41" t="s">
        <v>79</v>
      </c>
      <c r="E70" s="43" t="s">
        <v>80</v>
      </c>
      <c r="F70" s="245">
        <f>3661.82+3390.7-G70</f>
        <v>5484.3700000000008</v>
      </c>
      <c r="G70" s="245">
        <f>943.5+624.65</f>
        <v>1568.15</v>
      </c>
      <c r="H70" s="231">
        <f t="shared" si="13"/>
        <v>7052.52</v>
      </c>
      <c r="I70" s="201">
        <f>8245+6546</f>
        <v>14791</v>
      </c>
      <c r="J70" s="193">
        <f t="shared" si="10"/>
        <v>14791</v>
      </c>
      <c r="K70" s="114">
        <f t="shared" si="11"/>
        <v>7738.48</v>
      </c>
      <c r="L70" s="104">
        <f t="shared" si="12"/>
        <v>0.5231884253938206</v>
      </c>
    </row>
    <row r="71" spans="1:12" ht="14.25" x14ac:dyDescent="0.2">
      <c r="A71" s="27"/>
      <c r="B71" s="19"/>
      <c r="C71" s="19"/>
      <c r="D71" s="19" t="s">
        <v>81</v>
      </c>
      <c r="E71" s="43" t="s">
        <v>82</v>
      </c>
      <c r="F71" s="245">
        <f>32106.03-G71</f>
        <v>32106.03</v>
      </c>
      <c r="G71" s="245">
        <v>0</v>
      </c>
      <c r="H71" s="231">
        <f t="shared" si="13"/>
        <v>32106.03</v>
      </c>
      <c r="I71" s="201">
        <v>81700.039999999994</v>
      </c>
      <c r="J71" s="193">
        <f t="shared" si="10"/>
        <v>81700.039999999994</v>
      </c>
      <c r="K71" s="114">
        <f t="shared" si="11"/>
        <v>49594.009999999995</v>
      </c>
      <c r="L71" s="104">
        <f t="shared" si="12"/>
        <v>0.6070255289960691</v>
      </c>
    </row>
    <row r="72" spans="1:12" ht="14.25" x14ac:dyDescent="0.2">
      <c r="A72" s="27"/>
      <c r="B72" s="19"/>
      <c r="C72" s="19"/>
      <c r="D72" s="19" t="s">
        <v>83</v>
      </c>
      <c r="E72" s="23" t="s">
        <v>84</v>
      </c>
      <c r="F72" s="233">
        <f>2175.29-G72</f>
        <v>2175.29</v>
      </c>
      <c r="G72" s="233">
        <v>0</v>
      </c>
      <c r="H72" s="231">
        <f t="shared" si="13"/>
        <v>2175.29</v>
      </c>
      <c r="I72" s="201">
        <v>9029</v>
      </c>
      <c r="J72" s="193">
        <f t="shared" si="10"/>
        <v>9029</v>
      </c>
      <c r="K72" s="114">
        <f t="shared" si="11"/>
        <v>6853.71</v>
      </c>
      <c r="L72" s="104">
        <f t="shared" si="12"/>
        <v>0.75907741721120836</v>
      </c>
    </row>
    <row r="73" spans="1:12" ht="14.25" x14ac:dyDescent="0.2">
      <c r="A73" s="27"/>
      <c r="B73" s="19"/>
      <c r="C73" s="19"/>
      <c r="D73" s="19" t="s">
        <v>85</v>
      </c>
      <c r="E73" s="43" t="s">
        <v>86</v>
      </c>
      <c r="F73" s="245">
        <f>-247.21-G73</f>
        <v>-729.07</v>
      </c>
      <c r="G73" s="245">
        <v>481.86</v>
      </c>
      <c r="H73" s="231">
        <f t="shared" si="13"/>
        <v>-247.21000000000004</v>
      </c>
      <c r="I73" s="201">
        <v>6876.04</v>
      </c>
      <c r="J73" s="193">
        <f t="shared" si="10"/>
        <v>6876.04</v>
      </c>
      <c r="K73" s="114">
        <f t="shared" si="11"/>
        <v>7123.25</v>
      </c>
      <c r="L73" s="104">
        <f t="shared" si="12"/>
        <v>1.0359523795673091</v>
      </c>
    </row>
    <row r="74" spans="1:12" ht="14.25" x14ac:dyDescent="0.2">
      <c r="A74" s="27"/>
      <c r="B74" s="19"/>
      <c r="C74" s="19"/>
      <c r="D74" s="19" t="s">
        <v>87</v>
      </c>
      <c r="E74" s="43" t="s">
        <v>88</v>
      </c>
      <c r="F74" s="245">
        <v>0</v>
      </c>
      <c r="G74" s="245">
        <v>0</v>
      </c>
      <c r="H74" s="231">
        <f t="shared" si="13"/>
        <v>0</v>
      </c>
      <c r="I74" s="192">
        <v>0</v>
      </c>
      <c r="J74" s="193">
        <f t="shared" si="10"/>
        <v>0</v>
      </c>
      <c r="K74" s="114">
        <f t="shared" si="11"/>
        <v>0</v>
      </c>
      <c r="L74" s="104" t="e">
        <f t="shared" si="12"/>
        <v>#DIV/0!</v>
      </c>
    </row>
    <row r="75" spans="1:12" ht="14.25" x14ac:dyDescent="0.2">
      <c r="A75" s="27"/>
      <c r="B75" s="19"/>
      <c r="C75" s="19"/>
      <c r="D75" s="19" t="s">
        <v>89</v>
      </c>
      <c r="E75" s="44" t="s">
        <v>90</v>
      </c>
      <c r="F75" s="245">
        <v>0</v>
      </c>
      <c r="G75" s="245">
        <v>0</v>
      </c>
      <c r="H75" s="231">
        <f t="shared" si="13"/>
        <v>0</v>
      </c>
      <c r="I75" s="192">
        <v>0</v>
      </c>
      <c r="J75" s="193">
        <f t="shared" si="10"/>
        <v>0</v>
      </c>
      <c r="K75" s="114">
        <f t="shared" si="11"/>
        <v>0</v>
      </c>
      <c r="L75" s="104" t="e">
        <f t="shared" si="12"/>
        <v>#DIV/0!</v>
      </c>
    </row>
    <row r="76" spans="1:12" ht="14.25" x14ac:dyDescent="0.2">
      <c r="A76" s="27"/>
      <c r="B76" s="19"/>
      <c r="C76" s="19"/>
      <c r="D76" s="19" t="s">
        <v>91</v>
      </c>
      <c r="E76" s="43" t="s">
        <v>92</v>
      </c>
      <c r="F76" s="245">
        <v>0</v>
      </c>
      <c r="G76" s="245">
        <v>0</v>
      </c>
      <c r="H76" s="248">
        <f t="shared" si="13"/>
        <v>0</v>
      </c>
      <c r="I76" s="192">
        <v>0</v>
      </c>
      <c r="J76" s="193">
        <f t="shared" si="10"/>
        <v>0</v>
      </c>
      <c r="K76" s="114">
        <f t="shared" si="11"/>
        <v>0</v>
      </c>
      <c r="L76" s="104" t="e">
        <f t="shared" si="12"/>
        <v>#DIV/0!</v>
      </c>
    </row>
    <row r="77" spans="1:12" ht="14.25" x14ac:dyDescent="0.2">
      <c r="A77" s="27"/>
      <c r="B77" s="19"/>
      <c r="C77" s="19"/>
      <c r="D77" s="19" t="s">
        <v>93</v>
      </c>
      <c r="E77" s="26" t="s">
        <v>17</v>
      </c>
      <c r="F77" s="249">
        <f>SUM(F68:F76)</f>
        <v>64682.96</v>
      </c>
      <c r="G77" s="249">
        <f>SUM(G68:G76)</f>
        <v>2050.0100000000002</v>
      </c>
      <c r="H77" s="250">
        <f>SUM(F77:G77)</f>
        <v>66732.97</v>
      </c>
      <c r="I77" s="194">
        <f>SUM(I68:I76)</f>
        <v>158503.07999999999</v>
      </c>
      <c r="J77" s="195">
        <f>SUM(J68:J76)</f>
        <v>158503.07999999999</v>
      </c>
      <c r="K77" s="118">
        <f>+J77-H77</f>
        <v>91770.109999999986</v>
      </c>
      <c r="L77" s="111">
        <f>1-(+(J77-K77)/J77)</f>
        <v>0.57897997944267066</v>
      </c>
    </row>
    <row r="78" spans="1:12" ht="14.25" x14ac:dyDescent="0.2">
      <c r="A78" s="27"/>
      <c r="B78" s="19"/>
      <c r="C78" s="19"/>
      <c r="D78" s="19"/>
      <c r="E78" s="20" t="s">
        <v>17</v>
      </c>
      <c r="F78" s="242"/>
      <c r="G78" s="242"/>
      <c r="H78" s="243"/>
      <c r="I78" s="192"/>
      <c r="J78" s="193"/>
      <c r="K78" s="114"/>
      <c r="L78" s="104"/>
    </row>
    <row r="79" spans="1:12" ht="15" x14ac:dyDescent="0.25">
      <c r="A79" s="27"/>
      <c r="B79" s="45" t="s">
        <v>50</v>
      </c>
      <c r="C79" s="25" t="s">
        <v>94</v>
      </c>
      <c r="D79" s="25"/>
      <c r="E79" s="20" t="s">
        <v>17</v>
      </c>
      <c r="F79" s="244"/>
      <c r="G79" s="244"/>
      <c r="H79" s="238"/>
      <c r="I79" s="192"/>
      <c r="J79" s="193"/>
      <c r="K79" s="114"/>
      <c r="L79" s="104"/>
    </row>
    <row r="80" spans="1:12" ht="15" x14ac:dyDescent="0.25">
      <c r="A80" s="27"/>
      <c r="B80" s="45"/>
      <c r="C80" s="25"/>
      <c r="D80" s="25" t="s">
        <v>95</v>
      </c>
      <c r="E80" s="30">
        <v>4100</v>
      </c>
      <c r="F80" s="229">
        <f>10178.24-G80</f>
        <v>10178.24</v>
      </c>
      <c r="G80" s="229">
        <v>0</v>
      </c>
      <c r="H80" s="231">
        <f t="shared" ref="H80:H85" si="14">SUM(F80:G80)</f>
        <v>10178.24</v>
      </c>
      <c r="I80" s="192">
        <v>11000.04</v>
      </c>
      <c r="J80" s="193">
        <f t="shared" ref="J80:J84" si="15">+I80</f>
        <v>11000.04</v>
      </c>
      <c r="K80" s="114">
        <f t="shared" ref="K80:K85" si="16">+J80-H80</f>
        <v>821.80000000000109</v>
      </c>
      <c r="L80" s="104">
        <f>1-(+(J80-K80)/J80)</f>
        <v>7.470881924065742E-2</v>
      </c>
    </row>
    <row r="81" spans="1:12" ht="15" x14ac:dyDescent="0.25">
      <c r="A81" s="27"/>
      <c r="B81" s="45"/>
      <c r="C81" s="25"/>
      <c r="D81" s="19" t="s">
        <v>96</v>
      </c>
      <c r="E81" s="28">
        <v>4200</v>
      </c>
      <c r="F81" s="229">
        <f>163.65-G81</f>
        <v>163.65</v>
      </c>
      <c r="G81" s="229">
        <v>0</v>
      </c>
      <c r="H81" s="231">
        <f t="shared" si="14"/>
        <v>163.65</v>
      </c>
      <c r="I81" s="202">
        <v>1841</v>
      </c>
      <c r="J81" s="193">
        <f t="shared" si="15"/>
        <v>1841</v>
      </c>
      <c r="K81" s="114">
        <f t="shared" si="16"/>
        <v>1677.35</v>
      </c>
      <c r="L81" s="104">
        <f>1-(+(J81-K81)/J81)</f>
        <v>0.911108093427485</v>
      </c>
    </row>
    <row r="82" spans="1:12" ht="15" x14ac:dyDescent="0.25">
      <c r="A82" s="27"/>
      <c r="B82" s="45"/>
      <c r="C82" s="25"/>
      <c r="D82" s="25" t="s">
        <v>97</v>
      </c>
      <c r="E82" s="34">
        <v>4300</v>
      </c>
      <c r="F82" s="233">
        <f>2127.17+6191.21-G82</f>
        <v>8318.380000000001</v>
      </c>
      <c r="G82" s="229">
        <v>0</v>
      </c>
      <c r="H82" s="231">
        <f t="shared" si="14"/>
        <v>8318.380000000001</v>
      </c>
      <c r="I82" s="202">
        <f>4365.04+12942</f>
        <v>17307.04</v>
      </c>
      <c r="J82" s="193">
        <f t="shared" si="15"/>
        <v>17307.04</v>
      </c>
      <c r="K82" s="114">
        <f t="shared" si="16"/>
        <v>8988.66</v>
      </c>
      <c r="L82" s="104">
        <f>1-(+(J82-K82)/J82)</f>
        <v>0.51936437426619453</v>
      </c>
    </row>
    <row r="83" spans="1:12" ht="15" x14ac:dyDescent="0.25">
      <c r="A83" s="27"/>
      <c r="B83" s="45"/>
      <c r="C83" s="25"/>
      <c r="D83" s="25" t="s">
        <v>98</v>
      </c>
      <c r="E83" s="35">
        <v>4400</v>
      </c>
      <c r="F83" s="245">
        <f>1213.53+375.99-G83</f>
        <v>1589.52</v>
      </c>
      <c r="G83" s="229">
        <v>0</v>
      </c>
      <c r="H83" s="231">
        <f t="shared" si="14"/>
        <v>1589.52</v>
      </c>
      <c r="I83" s="202">
        <f>4165+6800</f>
        <v>10965</v>
      </c>
      <c r="J83" s="193">
        <f t="shared" si="15"/>
        <v>10965</v>
      </c>
      <c r="K83" s="114">
        <f t="shared" si="16"/>
        <v>9375.48</v>
      </c>
      <c r="L83" s="104">
        <f>1-(+(J83-K83)/J83)</f>
        <v>0.85503693570451433</v>
      </c>
    </row>
    <row r="84" spans="1:12" ht="15" x14ac:dyDescent="0.25">
      <c r="A84" s="27"/>
      <c r="B84" s="45"/>
      <c r="C84" s="25"/>
      <c r="D84" s="25" t="s">
        <v>99</v>
      </c>
      <c r="E84" s="34">
        <v>4700</v>
      </c>
      <c r="F84" s="246">
        <f>816.4-G84</f>
        <v>816.4</v>
      </c>
      <c r="G84" s="229">
        <v>0</v>
      </c>
      <c r="H84" s="248">
        <f t="shared" si="14"/>
        <v>816.4</v>
      </c>
      <c r="I84" s="203">
        <v>1500</v>
      </c>
      <c r="J84" s="193">
        <f t="shared" si="15"/>
        <v>1500</v>
      </c>
      <c r="K84" s="114">
        <f t="shared" si="16"/>
        <v>683.6</v>
      </c>
      <c r="L84" s="104">
        <v>0</v>
      </c>
    </row>
    <row r="85" spans="1:12" ht="15" x14ac:dyDescent="0.25">
      <c r="A85" s="27"/>
      <c r="B85" s="45"/>
      <c r="C85" s="25"/>
      <c r="D85" s="25" t="s">
        <v>100</v>
      </c>
      <c r="E85" s="26" t="s">
        <v>17</v>
      </c>
      <c r="F85" s="249">
        <f>SUM(F80:F84)</f>
        <v>21066.190000000002</v>
      </c>
      <c r="G85" s="249">
        <f>SUM(G80:G84)</f>
        <v>0</v>
      </c>
      <c r="H85" s="250">
        <f t="shared" si="14"/>
        <v>21066.190000000002</v>
      </c>
      <c r="I85" s="228">
        <f>SUM(I80:I84)</f>
        <v>42613.08</v>
      </c>
      <c r="J85" s="228">
        <f>SUM(J80:J84)</f>
        <v>42613.08</v>
      </c>
      <c r="K85" s="118">
        <f t="shared" si="16"/>
        <v>21546.89</v>
      </c>
      <c r="L85" s="111">
        <f>1-(+(J85-K85)/J85)</f>
        <v>0.50564028697291996</v>
      </c>
    </row>
    <row r="86" spans="1:12" ht="15" x14ac:dyDescent="0.25">
      <c r="A86" s="27"/>
      <c r="B86" s="21"/>
      <c r="C86" s="19"/>
      <c r="D86" s="19"/>
      <c r="E86" s="20" t="s">
        <v>17</v>
      </c>
      <c r="F86" s="242"/>
      <c r="G86" s="242"/>
      <c r="H86" s="243"/>
      <c r="I86" s="206"/>
      <c r="J86" s="207"/>
      <c r="K86" s="115"/>
      <c r="L86" s="105"/>
    </row>
    <row r="87" spans="1:12" ht="15" x14ac:dyDescent="0.25">
      <c r="A87" s="27"/>
      <c r="B87" s="21" t="s">
        <v>57</v>
      </c>
      <c r="C87" s="19" t="s">
        <v>101</v>
      </c>
      <c r="D87" s="19"/>
      <c r="E87" s="20" t="s">
        <v>17</v>
      </c>
      <c r="F87" s="244"/>
      <c r="G87" s="244"/>
      <c r="H87" s="238"/>
      <c r="I87" s="206"/>
      <c r="J87" s="207"/>
      <c r="K87" s="115"/>
      <c r="L87" s="105"/>
    </row>
    <row r="88" spans="1:12" ht="15" x14ac:dyDescent="0.25">
      <c r="A88" s="27"/>
      <c r="B88" s="21"/>
      <c r="C88" s="19"/>
      <c r="D88" s="19" t="s">
        <v>102</v>
      </c>
      <c r="E88" s="22">
        <v>5200</v>
      </c>
      <c r="F88" s="229">
        <f>1738.78+740-G88</f>
        <v>1618.4999999999998</v>
      </c>
      <c r="G88" s="229">
        <f>120.28+740</f>
        <v>860.28</v>
      </c>
      <c r="H88" s="231">
        <f>SUM(F88:G88)</f>
        <v>2478.7799999999997</v>
      </c>
      <c r="I88" s="208">
        <f>4934.04+7565.04</f>
        <v>12499.08</v>
      </c>
      <c r="J88" s="193">
        <f t="shared" ref="J88:J94" si="17">+I88</f>
        <v>12499.08</v>
      </c>
      <c r="K88" s="114">
        <f t="shared" ref="K88:K94" si="18">+J88-H88</f>
        <v>10020.299999999999</v>
      </c>
      <c r="L88" s="104">
        <f t="shared" ref="L88:L94" si="19">1-(+(J88-K88)/J88)</f>
        <v>0.80168300386908475</v>
      </c>
    </row>
    <row r="89" spans="1:12" ht="15" x14ac:dyDescent="0.25">
      <c r="A89" s="27"/>
      <c r="B89" s="21"/>
      <c r="C89" s="19"/>
      <c r="D89" s="19" t="s">
        <v>103</v>
      </c>
      <c r="E89" s="28">
        <v>5300</v>
      </c>
      <c r="F89" s="233">
        <f>1620-G89</f>
        <v>1620</v>
      </c>
      <c r="G89" s="233">
        <v>0</v>
      </c>
      <c r="H89" s="231">
        <f t="shared" ref="H89:H95" si="20">SUM(F89:G89)</f>
        <v>1620</v>
      </c>
      <c r="I89" s="208">
        <v>6770</v>
      </c>
      <c r="J89" s="193">
        <f t="shared" si="17"/>
        <v>6770</v>
      </c>
      <c r="K89" s="114">
        <f t="shared" si="18"/>
        <v>5150</v>
      </c>
      <c r="L89" s="104">
        <f t="shared" si="19"/>
        <v>0.76070901033973415</v>
      </c>
    </row>
    <row r="90" spans="1:12" ht="15" x14ac:dyDescent="0.25">
      <c r="A90" s="27"/>
      <c r="B90" s="21"/>
      <c r="C90" s="19"/>
      <c r="D90" s="19" t="s">
        <v>104</v>
      </c>
      <c r="E90" s="43" t="s">
        <v>105</v>
      </c>
      <c r="F90" s="245">
        <v>0</v>
      </c>
      <c r="G90" s="245">
        <v>0</v>
      </c>
      <c r="H90" s="231">
        <f t="shared" si="20"/>
        <v>0</v>
      </c>
      <c r="I90" s="202">
        <v>15000</v>
      </c>
      <c r="J90" s="193">
        <f t="shared" si="17"/>
        <v>15000</v>
      </c>
      <c r="K90" s="114">
        <f t="shared" si="18"/>
        <v>15000</v>
      </c>
      <c r="L90" s="104">
        <f t="shared" si="19"/>
        <v>1</v>
      </c>
    </row>
    <row r="91" spans="1:12" ht="15" x14ac:dyDescent="0.25">
      <c r="A91" s="27"/>
      <c r="B91" s="21"/>
      <c r="C91" s="19"/>
      <c r="D91" s="19" t="s">
        <v>106</v>
      </c>
      <c r="E91" s="34">
        <v>5500</v>
      </c>
      <c r="F91" s="245">
        <f>16125.78+2160.64-G91</f>
        <v>18286.420000000002</v>
      </c>
      <c r="G91" s="245">
        <v>0</v>
      </c>
      <c r="H91" s="231">
        <f t="shared" si="20"/>
        <v>18286.420000000002</v>
      </c>
      <c r="I91" s="202">
        <v>11584</v>
      </c>
      <c r="J91" s="193">
        <f t="shared" si="17"/>
        <v>11584</v>
      </c>
      <c r="K91" s="114">
        <f t="shared" si="18"/>
        <v>-6702.4200000000019</v>
      </c>
      <c r="L91" s="104">
        <f t="shared" si="19"/>
        <v>-0.5785928867403316</v>
      </c>
    </row>
    <row r="92" spans="1:12" ht="15" x14ac:dyDescent="0.25">
      <c r="A92" s="27"/>
      <c r="B92" s="21"/>
      <c r="C92" s="19"/>
      <c r="D92" s="19" t="s">
        <v>107</v>
      </c>
      <c r="E92" s="34">
        <v>5600</v>
      </c>
      <c r="F92" s="245">
        <f>35250.55+60+606.17-G92</f>
        <v>606.16999999999825</v>
      </c>
      <c r="G92" s="245">
        <f>35250.55+60</f>
        <v>35310.550000000003</v>
      </c>
      <c r="H92" s="231">
        <f t="shared" si="20"/>
        <v>35916.720000000001</v>
      </c>
      <c r="I92" s="202">
        <f>62172+500+2106.04+1368</f>
        <v>66146.040000000008</v>
      </c>
      <c r="J92" s="193">
        <f t="shared" si="17"/>
        <v>66146.040000000008</v>
      </c>
      <c r="K92" s="114">
        <f t="shared" si="18"/>
        <v>30229.320000000007</v>
      </c>
      <c r="L92" s="104">
        <f t="shared" si="19"/>
        <v>0.45700876424348313</v>
      </c>
    </row>
    <row r="93" spans="1:12" ht="14.25" x14ac:dyDescent="0.2">
      <c r="A93" s="27"/>
      <c r="B93" s="19"/>
      <c r="C93" s="19"/>
      <c r="D93" s="19" t="s">
        <v>108</v>
      </c>
      <c r="E93" s="35">
        <v>5800</v>
      </c>
      <c r="F93" s="245">
        <f>1832.67+4770.76+17501.19+21622.69+251+16197+32000+311.28-G93</f>
        <v>94486.59</v>
      </c>
      <c r="G93" s="245">
        <v>0</v>
      </c>
      <c r="H93" s="231">
        <f t="shared" si="20"/>
        <v>94486.59</v>
      </c>
      <c r="I93" s="202">
        <f>22000+6042+9167+7000+19241+1347+20000.04+48000+9854+175</f>
        <v>142826.04</v>
      </c>
      <c r="J93" s="193">
        <f t="shared" si="17"/>
        <v>142826.04</v>
      </c>
      <c r="K93" s="114">
        <f t="shared" si="18"/>
        <v>48339.450000000012</v>
      </c>
      <c r="L93" s="104">
        <f t="shared" si="19"/>
        <v>0.33844983729857669</v>
      </c>
    </row>
    <row r="94" spans="1:12" ht="14.25" x14ac:dyDescent="0.2">
      <c r="A94" s="27"/>
      <c r="B94" s="19"/>
      <c r="C94" s="19"/>
      <c r="D94" s="19" t="s">
        <v>109</v>
      </c>
      <c r="E94" s="34">
        <v>5900</v>
      </c>
      <c r="F94" s="246">
        <f>6997.33-G94</f>
        <v>6997.33</v>
      </c>
      <c r="G94" s="247">
        <v>0</v>
      </c>
      <c r="H94" s="248">
        <f t="shared" si="20"/>
        <v>6997.33</v>
      </c>
      <c r="I94" s="202">
        <v>5751.04</v>
      </c>
      <c r="J94" s="193">
        <f t="shared" si="17"/>
        <v>5751.04</v>
      </c>
      <c r="K94" s="114">
        <f t="shared" si="18"/>
        <v>-1246.29</v>
      </c>
      <c r="L94" s="104">
        <f t="shared" si="19"/>
        <v>-0.21670689127531717</v>
      </c>
    </row>
    <row r="95" spans="1:12" ht="14.25" x14ac:dyDescent="0.2">
      <c r="A95" s="27"/>
      <c r="B95" s="19"/>
      <c r="C95" s="19"/>
      <c r="D95" s="19" t="s">
        <v>110</v>
      </c>
      <c r="E95" s="26" t="s">
        <v>17</v>
      </c>
      <c r="F95" s="249">
        <f>SUM(F88:F94)</f>
        <v>123615.01</v>
      </c>
      <c r="G95" s="249">
        <f>SUM(G88:G94)</f>
        <v>36170.83</v>
      </c>
      <c r="H95" s="250">
        <f t="shared" si="20"/>
        <v>159785.84</v>
      </c>
      <c r="I95" s="204">
        <f>SUM(I88:I94)</f>
        <v>260576.20000000004</v>
      </c>
      <c r="J95" s="205">
        <f>SUM(J88:J94)</f>
        <v>260576.20000000004</v>
      </c>
      <c r="K95" s="118">
        <f>+J95-H95</f>
        <v>100790.36000000004</v>
      </c>
      <c r="L95" s="111">
        <f>1-(+(J95-K95)/J95)</f>
        <v>0.38679802683437714</v>
      </c>
    </row>
    <row r="96" spans="1:12" ht="14.25" x14ac:dyDescent="0.2">
      <c r="A96" s="27"/>
      <c r="B96" s="19"/>
      <c r="C96" s="19" t="s">
        <v>17</v>
      </c>
      <c r="D96" s="19" t="s">
        <v>111</v>
      </c>
      <c r="E96" s="20" t="s">
        <v>17</v>
      </c>
      <c r="F96" s="242"/>
      <c r="G96" s="242"/>
      <c r="H96" s="243"/>
      <c r="I96" s="206"/>
      <c r="J96" s="207"/>
      <c r="K96" s="115"/>
      <c r="L96" s="105"/>
    </row>
    <row r="97" spans="1:12" ht="15" x14ac:dyDescent="0.25">
      <c r="A97" s="27"/>
      <c r="B97" s="21" t="s">
        <v>112</v>
      </c>
      <c r="C97" s="19" t="s">
        <v>113</v>
      </c>
      <c r="D97" s="19"/>
      <c r="E97" s="20" t="s">
        <v>17</v>
      </c>
      <c r="F97" s="244"/>
      <c r="G97" s="244"/>
      <c r="H97" s="238"/>
      <c r="I97" s="206"/>
      <c r="J97" s="207"/>
      <c r="K97" s="115"/>
      <c r="L97" s="105"/>
    </row>
    <row r="98" spans="1:12" ht="15" x14ac:dyDescent="0.25">
      <c r="A98" s="27"/>
      <c r="B98" s="21"/>
      <c r="C98" s="19"/>
      <c r="D98" s="46" t="s">
        <v>114</v>
      </c>
      <c r="E98" s="20"/>
      <c r="F98" s="244"/>
      <c r="G98" s="244"/>
      <c r="H98" s="238"/>
      <c r="I98" s="192"/>
      <c r="J98" s="193"/>
      <c r="K98" s="114"/>
      <c r="L98" s="104"/>
    </row>
    <row r="99" spans="1:12" ht="15" x14ac:dyDescent="0.25">
      <c r="A99" s="27"/>
      <c r="B99" s="21"/>
      <c r="C99" s="19"/>
      <c r="D99" s="46" t="s">
        <v>115</v>
      </c>
      <c r="E99" s="20"/>
      <c r="F99" s="244"/>
      <c r="G99" s="244"/>
      <c r="H99" s="238"/>
      <c r="I99" s="192"/>
      <c r="J99" s="193"/>
      <c r="K99" s="114"/>
      <c r="L99" s="104"/>
    </row>
    <row r="100" spans="1:12" ht="15" x14ac:dyDescent="0.25">
      <c r="A100" s="27"/>
      <c r="B100" s="21"/>
      <c r="C100" s="19"/>
      <c r="D100" s="29" t="s">
        <v>116</v>
      </c>
      <c r="E100" s="30" t="s">
        <v>117</v>
      </c>
      <c r="F100" s="229">
        <v>0</v>
      </c>
      <c r="G100" s="229">
        <v>0</v>
      </c>
      <c r="H100" s="231"/>
      <c r="I100" s="192">
        <v>0</v>
      </c>
      <c r="J100" s="193">
        <f t="shared" ref="J100:J106" si="21">+I100</f>
        <v>0</v>
      </c>
      <c r="K100" s="114"/>
      <c r="L100" s="104"/>
    </row>
    <row r="101" spans="1:12" ht="15" x14ac:dyDescent="0.25">
      <c r="A101" s="27"/>
      <c r="B101" s="21"/>
      <c r="C101" s="19"/>
      <c r="D101" s="19" t="s">
        <v>118</v>
      </c>
      <c r="E101" s="28">
        <v>6200</v>
      </c>
      <c r="F101" s="229">
        <v>0</v>
      </c>
      <c r="G101" s="229">
        <v>0</v>
      </c>
      <c r="H101" s="231"/>
      <c r="I101" s="192">
        <v>0</v>
      </c>
      <c r="J101" s="193">
        <f t="shared" si="21"/>
        <v>0</v>
      </c>
      <c r="K101" s="114"/>
      <c r="L101" s="104"/>
    </row>
    <row r="102" spans="1:12" ht="15" x14ac:dyDescent="0.25">
      <c r="A102" s="27"/>
      <c r="B102" s="21"/>
      <c r="C102" s="19"/>
      <c r="D102" s="19" t="s">
        <v>119</v>
      </c>
      <c r="E102" s="26" t="s">
        <v>17</v>
      </c>
      <c r="F102" s="229">
        <v>0</v>
      </c>
      <c r="G102" s="229">
        <v>0</v>
      </c>
      <c r="H102" s="234"/>
      <c r="I102" s="192">
        <v>0</v>
      </c>
      <c r="J102" s="193">
        <f t="shared" si="21"/>
        <v>0</v>
      </c>
      <c r="K102" s="114"/>
      <c r="L102" s="104"/>
    </row>
    <row r="103" spans="1:12" ht="15" x14ac:dyDescent="0.25">
      <c r="A103" s="27"/>
      <c r="B103" s="21"/>
      <c r="C103" s="19"/>
      <c r="D103" s="29" t="s">
        <v>120</v>
      </c>
      <c r="E103" s="24">
        <v>6300</v>
      </c>
      <c r="F103" s="229">
        <v>0</v>
      </c>
      <c r="G103" s="229">
        <v>0</v>
      </c>
      <c r="H103" s="231"/>
      <c r="I103" s="192">
        <v>0</v>
      </c>
      <c r="J103" s="193">
        <f t="shared" si="21"/>
        <v>0</v>
      </c>
      <c r="K103" s="114"/>
      <c r="L103" s="104"/>
    </row>
    <row r="104" spans="1:12" ht="15" x14ac:dyDescent="0.25">
      <c r="A104" s="27"/>
      <c r="B104" s="21"/>
      <c r="C104" s="19"/>
      <c r="D104" s="29" t="s">
        <v>121</v>
      </c>
      <c r="E104" s="34">
        <v>6400</v>
      </c>
      <c r="F104" s="229">
        <v>0</v>
      </c>
      <c r="G104" s="229">
        <v>0</v>
      </c>
      <c r="H104" s="231"/>
      <c r="I104" s="192">
        <v>0</v>
      </c>
      <c r="J104" s="193">
        <f t="shared" si="21"/>
        <v>0</v>
      </c>
      <c r="K104" s="114"/>
      <c r="L104" s="104"/>
    </row>
    <row r="105" spans="1:12" ht="15" x14ac:dyDescent="0.25">
      <c r="A105" s="27"/>
      <c r="B105" s="21"/>
      <c r="C105" s="19"/>
      <c r="D105" s="29" t="s">
        <v>122</v>
      </c>
      <c r="E105" s="35">
        <v>6500</v>
      </c>
      <c r="F105" s="229">
        <v>0</v>
      </c>
      <c r="G105" s="229">
        <v>0</v>
      </c>
      <c r="H105" s="231"/>
      <c r="I105" s="192">
        <v>0</v>
      </c>
      <c r="J105" s="193">
        <f t="shared" si="21"/>
        <v>0</v>
      </c>
      <c r="K105" s="114"/>
      <c r="L105" s="104"/>
    </row>
    <row r="106" spans="1:12" ht="15" x14ac:dyDescent="0.25">
      <c r="A106" s="27"/>
      <c r="B106" s="21"/>
      <c r="C106" s="19"/>
      <c r="D106" s="47" t="s">
        <v>123</v>
      </c>
      <c r="E106" s="48">
        <v>6900</v>
      </c>
      <c r="F106" s="229">
        <v>0</v>
      </c>
      <c r="G106" s="229">
        <v>0</v>
      </c>
      <c r="H106" s="248"/>
      <c r="I106" s="206">
        <v>2824</v>
      </c>
      <c r="J106" s="193">
        <f t="shared" si="21"/>
        <v>2824</v>
      </c>
      <c r="K106" s="115"/>
      <c r="L106" s="105"/>
    </row>
    <row r="107" spans="1:12" ht="14.25" x14ac:dyDescent="0.2">
      <c r="A107" s="27"/>
      <c r="B107" s="19"/>
      <c r="C107" s="19" t="s">
        <v>17</v>
      </c>
      <c r="D107" s="19" t="s">
        <v>124</v>
      </c>
      <c r="E107" s="26" t="s">
        <v>17</v>
      </c>
      <c r="F107" s="249">
        <f>SUM(F100,F101,F103,F104,F105,F106)</f>
        <v>0</v>
      </c>
      <c r="G107" s="249">
        <f>SUM(G100,G101,G103,G104,G105,G106)</f>
        <v>0</v>
      </c>
      <c r="H107" s="250">
        <f>SUM(F107:G107)</f>
        <v>0</v>
      </c>
      <c r="I107" s="194">
        <f>SUM(I100:I106)</f>
        <v>2824</v>
      </c>
      <c r="J107" s="195">
        <f>SUM(J100:J106)</f>
        <v>2824</v>
      </c>
      <c r="K107" s="118">
        <f>+J107-H107</f>
        <v>2824</v>
      </c>
      <c r="L107" s="111">
        <v>0</v>
      </c>
    </row>
    <row r="108" spans="1:12" ht="14.25" x14ac:dyDescent="0.2">
      <c r="A108" s="27"/>
      <c r="B108" s="19"/>
      <c r="C108" s="19"/>
      <c r="D108" s="19"/>
      <c r="E108" s="20" t="s">
        <v>17</v>
      </c>
      <c r="F108" s="242"/>
      <c r="G108" s="242"/>
      <c r="H108" s="243"/>
      <c r="I108" s="192"/>
      <c r="J108" s="193"/>
      <c r="K108" s="114"/>
      <c r="L108" s="104"/>
    </row>
    <row r="109" spans="1:12" ht="15" x14ac:dyDescent="0.25">
      <c r="A109" s="27"/>
      <c r="B109" s="21" t="s">
        <v>125</v>
      </c>
      <c r="C109" s="19" t="s">
        <v>126</v>
      </c>
      <c r="D109" s="19"/>
      <c r="E109" s="20" t="s">
        <v>17</v>
      </c>
      <c r="F109" s="244"/>
      <c r="G109" s="244"/>
      <c r="H109" s="238"/>
      <c r="I109" s="192"/>
      <c r="J109" s="193"/>
      <c r="K109" s="114"/>
      <c r="L109" s="104"/>
    </row>
    <row r="110" spans="1:12" ht="15" x14ac:dyDescent="0.25">
      <c r="A110" s="27"/>
      <c r="B110" s="18" t="s">
        <v>17</v>
      </c>
      <c r="C110" s="19"/>
      <c r="D110" s="19" t="s">
        <v>127</v>
      </c>
      <c r="E110" s="42" t="s">
        <v>128</v>
      </c>
      <c r="F110" s="229">
        <v>0</v>
      </c>
      <c r="G110" s="229">
        <v>0</v>
      </c>
      <c r="H110" s="231"/>
      <c r="I110" s="192">
        <v>0</v>
      </c>
      <c r="J110" s="193">
        <f t="shared" ref="J110:J117" si="22">+I110</f>
        <v>0</v>
      </c>
      <c r="K110" s="114"/>
      <c r="L110" s="104"/>
    </row>
    <row r="111" spans="1:12" ht="15" x14ac:dyDescent="0.25">
      <c r="A111" s="27"/>
      <c r="B111" s="21"/>
      <c r="C111" s="19"/>
      <c r="D111" s="29" t="s">
        <v>129</v>
      </c>
      <c r="E111" s="23" t="s">
        <v>130</v>
      </c>
      <c r="F111" s="229">
        <v>0</v>
      </c>
      <c r="G111" s="229">
        <v>0</v>
      </c>
      <c r="H111" s="231"/>
      <c r="I111" s="192">
        <v>0</v>
      </c>
      <c r="J111" s="193">
        <f t="shared" si="22"/>
        <v>0</v>
      </c>
      <c r="K111" s="114"/>
      <c r="L111" s="104"/>
    </row>
    <row r="112" spans="1:12" ht="15" x14ac:dyDescent="0.25">
      <c r="A112" s="27"/>
      <c r="B112" s="21"/>
      <c r="C112" s="19"/>
      <c r="D112" s="19" t="s">
        <v>131</v>
      </c>
      <c r="E112" s="24" t="s">
        <v>132</v>
      </c>
      <c r="F112" s="229">
        <v>0</v>
      </c>
      <c r="G112" s="229">
        <v>0</v>
      </c>
      <c r="H112" s="231">
        <f>SUM(F112:G112)</f>
        <v>0</v>
      </c>
      <c r="I112" s="192">
        <v>107661</v>
      </c>
      <c r="J112" s="193">
        <f t="shared" si="22"/>
        <v>107661</v>
      </c>
      <c r="K112" s="114">
        <f>+J112-H112</f>
        <v>107661</v>
      </c>
      <c r="L112" s="104">
        <f>1-(+(J112-K112)/J112)</f>
        <v>1</v>
      </c>
    </row>
    <row r="113" spans="1:12" ht="15" x14ac:dyDescent="0.25">
      <c r="A113" s="27"/>
      <c r="B113" s="21"/>
      <c r="C113" s="19"/>
      <c r="D113" s="19" t="s">
        <v>133</v>
      </c>
      <c r="E113" s="23" t="s">
        <v>134</v>
      </c>
      <c r="F113" s="229">
        <v>0</v>
      </c>
      <c r="G113" s="229">
        <v>0</v>
      </c>
      <c r="H113" s="231"/>
      <c r="I113" s="192">
        <v>0</v>
      </c>
      <c r="J113" s="193">
        <f t="shared" si="22"/>
        <v>0</v>
      </c>
      <c r="K113" s="114"/>
      <c r="L113" s="104"/>
    </row>
    <row r="114" spans="1:12" ht="15" x14ac:dyDescent="0.25">
      <c r="A114" s="27"/>
      <c r="B114" s="21"/>
      <c r="C114" s="19"/>
      <c r="D114" s="19" t="s">
        <v>135</v>
      </c>
      <c r="E114" s="23" t="s">
        <v>136</v>
      </c>
      <c r="F114" s="229">
        <v>0</v>
      </c>
      <c r="G114" s="229">
        <v>0</v>
      </c>
      <c r="H114" s="231">
        <f>SUM(F114:G114)</f>
        <v>0</v>
      </c>
      <c r="I114" s="192">
        <v>0</v>
      </c>
      <c r="J114" s="193">
        <f t="shared" si="22"/>
        <v>0</v>
      </c>
      <c r="K114" s="114">
        <f>+J114-H114</f>
        <v>0</v>
      </c>
      <c r="L114" s="104" t="e">
        <f>1-(+(J114-K114)/J114)</f>
        <v>#DIV/0!</v>
      </c>
    </row>
    <row r="115" spans="1:12" ht="15" x14ac:dyDescent="0.25">
      <c r="A115" s="27"/>
      <c r="B115" s="21"/>
      <c r="C115" s="19"/>
      <c r="D115" s="25" t="s">
        <v>137</v>
      </c>
      <c r="E115" s="26" t="s">
        <v>17</v>
      </c>
      <c r="F115" s="229">
        <v>0</v>
      </c>
      <c r="G115" s="229">
        <v>0</v>
      </c>
      <c r="H115" s="234"/>
      <c r="I115" s="192">
        <v>0</v>
      </c>
      <c r="J115" s="193">
        <f t="shared" si="22"/>
        <v>0</v>
      </c>
      <c r="K115" s="114"/>
      <c r="L115" s="104"/>
    </row>
    <row r="116" spans="1:12" ht="15" x14ac:dyDescent="0.25">
      <c r="A116" s="27"/>
      <c r="B116" s="21"/>
      <c r="C116" s="19"/>
      <c r="D116" s="29" t="s">
        <v>138</v>
      </c>
      <c r="E116" s="22">
        <v>7438</v>
      </c>
      <c r="F116" s="229">
        <v>0</v>
      </c>
      <c r="G116" s="229">
        <v>0</v>
      </c>
      <c r="H116" s="231">
        <f>SUM(F116:G116)</f>
        <v>0</v>
      </c>
      <c r="I116" s="192">
        <v>0</v>
      </c>
      <c r="J116" s="193">
        <f t="shared" si="22"/>
        <v>0</v>
      </c>
      <c r="K116" s="114">
        <f>+J116-H116</f>
        <v>0</v>
      </c>
      <c r="L116" s="104" t="e">
        <f>1-(+(J116-K116)/J116)</f>
        <v>#DIV/0!</v>
      </c>
    </row>
    <row r="117" spans="1:12" ht="15" x14ac:dyDescent="0.25">
      <c r="A117" s="27"/>
      <c r="B117" s="21"/>
      <c r="C117" s="19"/>
      <c r="D117" s="29" t="s">
        <v>139</v>
      </c>
      <c r="E117" s="28">
        <v>7439</v>
      </c>
      <c r="F117" s="229">
        <v>0</v>
      </c>
      <c r="G117" s="229">
        <v>0</v>
      </c>
      <c r="H117" s="248">
        <f>SUM(F117:G117)</f>
        <v>0</v>
      </c>
      <c r="I117" s="192">
        <v>0</v>
      </c>
      <c r="J117" s="193">
        <f t="shared" si="22"/>
        <v>0</v>
      </c>
      <c r="K117" s="114"/>
      <c r="L117" s="104"/>
    </row>
    <row r="118" spans="1:12" ht="15" x14ac:dyDescent="0.25">
      <c r="A118" s="27"/>
      <c r="B118" s="21"/>
      <c r="C118" s="19"/>
      <c r="D118" s="19" t="s">
        <v>140</v>
      </c>
      <c r="E118" s="26" t="s">
        <v>17</v>
      </c>
      <c r="F118" s="259">
        <f>SUM(F110,F111,F112,F113,F114,F116,F117)</f>
        <v>0</v>
      </c>
      <c r="G118" s="259">
        <f>SUM(G110,G111,G112,G113,G114,G116,G117)</f>
        <v>0</v>
      </c>
      <c r="H118" s="260">
        <f>SUM(F118:G118)</f>
        <v>0</v>
      </c>
      <c r="I118" s="194">
        <f>SUM(I110:I117)</f>
        <v>107661</v>
      </c>
      <c r="J118" s="195">
        <f>SUM(J110:J117)</f>
        <v>107661</v>
      </c>
      <c r="K118" s="118">
        <f>+J118-H118</f>
        <v>107661</v>
      </c>
      <c r="L118" s="111">
        <f>1-(+(J118-K118)/J118)</f>
        <v>1</v>
      </c>
    </row>
    <row r="119" spans="1:12" ht="15" x14ac:dyDescent="0.25">
      <c r="A119" s="27"/>
      <c r="B119" s="21"/>
      <c r="C119" s="19"/>
      <c r="D119" s="19"/>
      <c r="E119" s="20" t="s">
        <v>17</v>
      </c>
      <c r="F119" s="261"/>
      <c r="G119" s="261"/>
      <c r="H119" s="234"/>
      <c r="I119" s="209"/>
      <c r="J119" s="210"/>
      <c r="K119" s="116"/>
      <c r="L119" s="106"/>
    </row>
    <row r="120" spans="1:12" ht="15" x14ac:dyDescent="0.25">
      <c r="A120" s="27"/>
      <c r="B120" s="18" t="s">
        <v>141</v>
      </c>
      <c r="C120" s="19" t="s">
        <v>142</v>
      </c>
      <c r="D120" s="19"/>
      <c r="E120" s="20" t="s">
        <v>17</v>
      </c>
      <c r="F120" s="254">
        <f>SUM(F57,F65,F77,F85,F95,F107,F118)</f>
        <v>430597.57</v>
      </c>
      <c r="G120" s="254">
        <f>SUM(G57,G65,G77,G85,G95,G107,G118)</f>
        <v>53438.36</v>
      </c>
      <c r="H120" s="255">
        <f>SUM(F120:G120)</f>
        <v>484035.93</v>
      </c>
      <c r="I120" s="199">
        <f>SUM(I57,I65,I77,I85,I95,I107,I118)</f>
        <v>1023626.4</v>
      </c>
      <c r="J120" s="200">
        <f>SUM(J57,J65,J77,J85,J95,J107,J118)</f>
        <v>1023626.4</v>
      </c>
      <c r="K120" s="118">
        <f>+J120-H120</f>
        <v>539590.47</v>
      </c>
      <c r="L120" s="111">
        <f>1-(+(J120-K120)/J120)</f>
        <v>0.52713614068570325</v>
      </c>
    </row>
    <row r="121" spans="1:12" ht="15" x14ac:dyDescent="0.25">
      <c r="A121" s="27"/>
      <c r="B121" s="21"/>
      <c r="C121" s="19"/>
      <c r="D121" s="19"/>
      <c r="E121" s="20" t="s">
        <v>17</v>
      </c>
      <c r="F121" s="253"/>
      <c r="G121" s="253"/>
      <c r="H121" s="243"/>
      <c r="I121" s="209"/>
      <c r="J121" s="210"/>
      <c r="K121" s="116"/>
      <c r="L121" s="106"/>
    </row>
    <row r="122" spans="1:12" ht="15" x14ac:dyDescent="0.25">
      <c r="A122" s="17" t="s">
        <v>143</v>
      </c>
      <c r="B122" s="18" t="s">
        <v>144</v>
      </c>
      <c r="C122" s="19"/>
      <c r="D122" s="19"/>
      <c r="E122" s="20" t="s">
        <v>17</v>
      </c>
      <c r="F122" s="262"/>
      <c r="G122" s="262"/>
      <c r="H122" s="238"/>
      <c r="I122" s="209"/>
      <c r="J122" s="210"/>
      <c r="K122" s="116"/>
      <c r="L122" s="106"/>
    </row>
    <row r="123" spans="1:12" ht="15.75" thickBot="1" x14ac:dyDescent="0.3">
      <c r="A123" s="122"/>
      <c r="B123" s="123" t="s">
        <v>145</v>
      </c>
      <c r="C123" s="124"/>
      <c r="D123" s="125"/>
      <c r="E123" s="126" t="s">
        <v>17</v>
      </c>
      <c r="F123" s="263">
        <f>SUM(F49-F120)</f>
        <v>182373.32</v>
      </c>
      <c r="G123" s="263">
        <f>SUM(G49-G120)</f>
        <v>-23306.36</v>
      </c>
      <c r="H123" s="264">
        <f>SUM(F123:G123)</f>
        <v>159066.96000000002</v>
      </c>
      <c r="I123" s="211">
        <f>SUM(I49-I120)</f>
        <v>62803.640000000014</v>
      </c>
      <c r="J123" s="212">
        <f>SUM(J49-J120)</f>
        <v>62803.640000000014</v>
      </c>
      <c r="K123" s="164"/>
      <c r="L123" s="127"/>
    </row>
    <row r="124" spans="1:12" ht="15.75" thickBot="1" x14ac:dyDescent="0.3">
      <c r="A124" s="14"/>
      <c r="B124" s="15"/>
      <c r="C124" s="15"/>
      <c r="D124" s="16" t="s">
        <v>10</v>
      </c>
      <c r="E124" s="50" t="s">
        <v>11</v>
      </c>
      <c r="F124" s="256" t="s">
        <v>12</v>
      </c>
      <c r="G124" s="256" t="s">
        <v>13</v>
      </c>
      <c r="H124" s="265" t="s">
        <v>14</v>
      </c>
      <c r="I124" s="189"/>
      <c r="J124" s="213"/>
      <c r="L124"/>
    </row>
    <row r="125" spans="1:12" ht="15" x14ac:dyDescent="0.25">
      <c r="A125" s="17" t="s">
        <v>172</v>
      </c>
      <c r="B125" s="18" t="s">
        <v>173</v>
      </c>
      <c r="C125" s="19"/>
      <c r="D125" s="19"/>
      <c r="E125" s="129" t="s">
        <v>17</v>
      </c>
      <c r="F125" s="242"/>
      <c r="G125" s="242"/>
      <c r="H125" s="266"/>
      <c r="I125" s="214"/>
      <c r="J125" s="215"/>
      <c r="L125"/>
    </row>
    <row r="126" spans="1:12" ht="15" x14ac:dyDescent="0.25">
      <c r="A126" s="17"/>
      <c r="B126" s="18" t="s">
        <v>18</v>
      </c>
      <c r="C126" s="19" t="s">
        <v>174</v>
      </c>
      <c r="D126" s="19"/>
      <c r="E126" s="22" t="s">
        <v>175</v>
      </c>
      <c r="F126" s="229">
        <v>0</v>
      </c>
      <c r="G126" s="229">
        <v>0</v>
      </c>
      <c r="H126" s="267">
        <f>SUM(F126:G126)</f>
        <v>0</v>
      </c>
      <c r="I126" s="214">
        <v>0</v>
      </c>
      <c r="J126" s="216"/>
      <c r="L126"/>
    </row>
    <row r="127" spans="1:12" ht="15" x14ac:dyDescent="0.25">
      <c r="A127" s="17"/>
      <c r="B127" s="18" t="s">
        <v>33</v>
      </c>
      <c r="C127" s="25" t="s">
        <v>176</v>
      </c>
      <c r="D127" s="25"/>
      <c r="E127" s="34" t="s">
        <v>177</v>
      </c>
      <c r="F127" s="233">
        <v>0</v>
      </c>
      <c r="G127" s="233">
        <v>0</v>
      </c>
      <c r="H127" s="267">
        <f>SUM(F127:G127)</f>
        <v>0</v>
      </c>
      <c r="I127" s="214">
        <v>0</v>
      </c>
      <c r="J127" s="216"/>
      <c r="L127"/>
    </row>
    <row r="128" spans="1:12" ht="15" x14ac:dyDescent="0.25">
      <c r="A128" s="17"/>
      <c r="B128" s="18" t="s">
        <v>42</v>
      </c>
      <c r="C128" s="25" t="s">
        <v>178</v>
      </c>
      <c r="D128" s="130"/>
      <c r="E128" s="26"/>
      <c r="F128" s="258"/>
      <c r="G128" s="258"/>
      <c r="H128" s="268" t="str">
        <f>IF(H129=0,"","(must be zero)")</f>
        <v/>
      </c>
      <c r="I128" s="214"/>
      <c r="J128" s="216"/>
      <c r="L128"/>
    </row>
    <row r="129" spans="1:12" ht="15" x14ac:dyDescent="0.25">
      <c r="A129" s="17"/>
      <c r="B129" s="18"/>
      <c r="C129" s="25" t="s">
        <v>179</v>
      </c>
      <c r="D129" s="130"/>
      <c r="E129" s="22" t="s">
        <v>180</v>
      </c>
      <c r="F129" s="269">
        <v>-23306.36</v>
      </c>
      <c r="G129" s="269">
        <v>23306.36</v>
      </c>
      <c r="H129" s="267">
        <f>SUM(F129:G129)</f>
        <v>0</v>
      </c>
      <c r="I129" s="214">
        <v>0</v>
      </c>
      <c r="J129" s="216"/>
      <c r="L129"/>
    </row>
    <row r="130" spans="1:12" ht="15" x14ac:dyDescent="0.25">
      <c r="A130" s="17"/>
      <c r="B130" s="18" t="s">
        <v>17</v>
      </c>
      <c r="C130" s="25"/>
      <c r="D130" s="25"/>
      <c r="E130" s="26" t="s">
        <v>17</v>
      </c>
      <c r="F130" s="253"/>
      <c r="G130" s="253"/>
      <c r="H130" s="270"/>
      <c r="I130" s="217"/>
      <c r="J130" s="218"/>
      <c r="L130"/>
    </row>
    <row r="131" spans="1:12" ht="15" x14ac:dyDescent="0.25">
      <c r="A131" s="27"/>
      <c r="B131" s="18" t="s">
        <v>50</v>
      </c>
      <c r="C131" s="25" t="s">
        <v>181</v>
      </c>
      <c r="D131" s="25"/>
      <c r="E131" s="20" t="s">
        <v>17</v>
      </c>
      <c r="F131" s="254">
        <f>SUM(+F126-F127+F129)</f>
        <v>-23306.36</v>
      </c>
      <c r="G131" s="254">
        <f>SUM(+G126-G127+G129)</f>
        <v>23306.36</v>
      </c>
      <c r="H131" s="271">
        <f>SUM(F131:G131)</f>
        <v>0</v>
      </c>
      <c r="I131" s="219"/>
      <c r="J131" s="220"/>
      <c r="L131"/>
    </row>
    <row r="132" spans="1:12" ht="14.25" x14ac:dyDescent="0.2">
      <c r="A132" s="27"/>
      <c r="B132" s="19"/>
      <c r="C132" s="19"/>
      <c r="D132" s="19"/>
      <c r="E132" s="20" t="s">
        <v>17</v>
      </c>
      <c r="F132" s="253"/>
      <c r="G132" s="253"/>
      <c r="H132" s="270"/>
      <c r="I132" s="217"/>
      <c r="J132" s="218"/>
      <c r="L132"/>
    </row>
    <row r="133" spans="1:12" ht="15" x14ac:dyDescent="0.25">
      <c r="A133" s="17" t="s">
        <v>182</v>
      </c>
      <c r="B133" s="18" t="s">
        <v>183</v>
      </c>
      <c r="C133" s="19"/>
      <c r="D133" s="19"/>
      <c r="E133" s="20" t="s">
        <v>17</v>
      </c>
      <c r="F133" s="272">
        <f>SUM(F123,F131)</f>
        <v>159066.96000000002</v>
      </c>
      <c r="G133" s="272">
        <f>SUM(G123,G131)</f>
        <v>0</v>
      </c>
      <c r="H133" s="273">
        <f>SUM(H123,H131)</f>
        <v>159066.96000000002</v>
      </c>
      <c r="I133" s="221">
        <f>SUM(I123,I131)</f>
        <v>62803.640000000014</v>
      </c>
      <c r="J133" s="222">
        <f>SUM(J123,J131)</f>
        <v>62803.640000000014</v>
      </c>
      <c r="L133"/>
    </row>
    <row r="134" spans="1:12" ht="14.25" x14ac:dyDescent="0.2">
      <c r="A134" s="27"/>
      <c r="B134" s="19" t="s">
        <v>17</v>
      </c>
      <c r="C134" s="19"/>
      <c r="D134" s="19"/>
      <c r="E134" s="20" t="s">
        <v>17</v>
      </c>
      <c r="F134" s="242"/>
      <c r="G134" s="242"/>
      <c r="H134" s="274"/>
      <c r="I134" s="214"/>
      <c r="J134" s="216"/>
      <c r="L134"/>
    </row>
    <row r="135" spans="1:12" ht="15" x14ac:dyDescent="0.25">
      <c r="A135" s="17" t="s">
        <v>184</v>
      </c>
      <c r="B135" s="18" t="s">
        <v>185</v>
      </c>
      <c r="C135" s="19"/>
      <c r="D135" s="19"/>
      <c r="E135" s="20" t="s">
        <v>17</v>
      </c>
      <c r="F135" s="244"/>
      <c r="G135" s="244"/>
      <c r="H135" s="275"/>
      <c r="I135" s="214"/>
      <c r="J135" s="216"/>
      <c r="L135"/>
    </row>
    <row r="136" spans="1:12" ht="15" x14ac:dyDescent="0.25">
      <c r="A136" s="17"/>
      <c r="B136" s="18" t="s">
        <v>18</v>
      </c>
      <c r="C136" s="19" t="s">
        <v>186</v>
      </c>
      <c r="D136" s="19"/>
      <c r="E136" s="20"/>
      <c r="F136" s="244"/>
      <c r="G136" s="244"/>
      <c r="H136" s="275"/>
      <c r="I136" s="214"/>
      <c r="J136" s="216"/>
      <c r="L136"/>
    </row>
    <row r="137" spans="1:12" ht="15" x14ac:dyDescent="0.25">
      <c r="A137" s="27"/>
      <c r="B137" s="18"/>
      <c r="C137" s="19" t="s">
        <v>187</v>
      </c>
      <c r="D137" s="19" t="s">
        <v>188</v>
      </c>
      <c r="E137" s="30">
        <v>9791</v>
      </c>
      <c r="F137" s="229">
        <v>749358.66</v>
      </c>
      <c r="G137" s="229">
        <v>37517.86</v>
      </c>
      <c r="H137" s="267">
        <f>SUM(F137:G137)</f>
        <v>786876.52</v>
      </c>
      <c r="I137" s="214">
        <v>620402.26</v>
      </c>
      <c r="J137" s="216">
        <f>H137</f>
        <v>786876.52</v>
      </c>
      <c r="L137"/>
    </row>
    <row r="138" spans="1:12" ht="14.25" x14ac:dyDescent="0.2">
      <c r="A138" s="27" t="s">
        <v>17</v>
      </c>
      <c r="B138" s="19"/>
      <c r="C138" s="19" t="s">
        <v>189</v>
      </c>
      <c r="D138" s="29" t="s">
        <v>190</v>
      </c>
      <c r="E138" s="131" t="s">
        <v>191</v>
      </c>
      <c r="F138" s="276">
        <v>17820</v>
      </c>
      <c r="G138" s="277">
        <v>0</v>
      </c>
      <c r="H138" s="278">
        <f>SUM(F138:G138)</f>
        <v>17820</v>
      </c>
      <c r="I138" s="217"/>
      <c r="J138" s="218">
        <v>0</v>
      </c>
      <c r="L138"/>
    </row>
    <row r="139" spans="1:12" ht="15" thickBot="1" x14ac:dyDescent="0.25">
      <c r="A139" s="36"/>
      <c r="B139" s="13"/>
      <c r="C139" s="13" t="s">
        <v>192</v>
      </c>
      <c r="D139" s="13" t="s">
        <v>193</v>
      </c>
      <c r="E139" s="26" t="s">
        <v>17</v>
      </c>
      <c r="F139" s="249">
        <f>SUM(F137,F138)</f>
        <v>767178.66</v>
      </c>
      <c r="G139" s="249">
        <f>SUM(G137,G138)</f>
        <v>37517.86</v>
      </c>
      <c r="H139" s="249">
        <f>SUM(F139:G139)</f>
        <v>804696.52</v>
      </c>
      <c r="I139" s="223">
        <f>I137+I138</f>
        <v>620402.26</v>
      </c>
      <c r="J139" s="223">
        <f>J137+J138</f>
        <v>786876.52</v>
      </c>
      <c r="L139"/>
    </row>
    <row r="140" spans="1:12" ht="15.75" thickBot="1" x14ac:dyDescent="0.3">
      <c r="A140" s="36"/>
      <c r="B140" s="37" t="s">
        <v>33</v>
      </c>
      <c r="C140" s="132" t="s">
        <v>265</v>
      </c>
      <c r="D140" s="132"/>
      <c r="E140" s="133" t="s">
        <v>17</v>
      </c>
      <c r="F140" s="279">
        <f>SUM(F133,F139)</f>
        <v>926245.62000000011</v>
      </c>
      <c r="G140" s="279">
        <f>SUM(G133,G139)</f>
        <v>37517.86</v>
      </c>
      <c r="H140" s="280">
        <f>SUM(F140:G140)</f>
        <v>963763.4800000001</v>
      </c>
      <c r="I140" s="224">
        <f>SUM(I133,I139)</f>
        <v>683205.9</v>
      </c>
      <c r="J140" s="224">
        <f>SUM(J133,J139)</f>
        <v>849680.16</v>
      </c>
      <c r="L140"/>
    </row>
    <row r="141" spans="1:12" ht="14.25" x14ac:dyDescent="0.2">
      <c r="A141" s="36"/>
      <c r="B141" s="13"/>
      <c r="C141" s="13" t="s">
        <v>194</v>
      </c>
      <c r="D141" s="13"/>
      <c r="E141" s="20" t="s">
        <v>17</v>
      </c>
      <c r="F141" s="281"/>
      <c r="G141" s="281"/>
      <c r="H141" s="266"/>
      <c r="I141" s="287"/>
      <c r="J141" s="288"/>
      <c r="L141"/>
    </row>
    <row r="142" spans="1:12" ht="14.25" x14ac:dyDescent="0.2">
      <c r="A142" s="36"/>
      <c r="B142" s="13"/>
      <c r="C142" s="13"/>
      <c r="D142" s="13" t="s">
        <v>195</v>
      </c>
      <c r="E142" s="30">
        <v>9711</v>
      </c>
      <c r="F142" s="282"/>
      <c r="G142" s="282"/>
      <c r="H142" s="267">
        <f t="shared" ref="H142:H150" si="23">SUM(F142:G142)</f>
        <v>0</v>
      </c>
      <c r="I142" s="287"/>
      <c r="J142" s="288"/>
      <c r="L142"/>
    </row>
    <row r="143" spans="1:12" ht="14.25" x14ac:dyDescent="0.2">
      <c r="A143" s="36"/>
      <c r="B143" s="13"/>
      <c r="C143" s="13"/>
      <c r="D143" s="13" t="s">
        <v>196</v>
      </c>
      <c r="E143" s="34">
        <v>9712</v>
      </c>
      <c r="F143" s="283"/>
      <c r="G143" s="283"/>
      <c r="H143" s="267">
        <f t="shared" si="23"/>
        <v>0</v>
      </c>
      <c r="I143" s="287"/>
      <c r="J143" s="288"/>
      <c r="L143"/>
    </row>
    <row r="144" spans="1:12" ht="14.25" x14ac:dyDescent="0.2">
      <c r="A144" s="36"/>
      <c r="B144" s="13"/>
      <c r="C144" s="13"/>
      <c r="D144" s="13" t="s">
        <v>197</v>
      </c>
      <c r="E144" s="34">
        <v>9713</v>
      </c>
      <c r="F144" s="283"/>
      <c r="G144" s="283"/>
      <c r="H144" s="267">
        <f t="shared" si="23"/>
        <v>0</v>
      </c>
      <c r="I144" s="287"/>
      <c r="J144" s="288"/>
      <c r="L144"/>
    </row>
    <row r="145" spans="1:12" ht="14.25" x14ac:dyDescent="0.2">
      <c r="A145" s="36"/>
      <c r="B145" s="13"/>
      <c r="C145" s="13"/>
      <c r="D145" s="13" t="s">
        <v>198</v>
      </c>
      <c r="E145" s="34">
        <v>9719</v>
      </c>
      <c r="F145" s="245">
        <v>0</v>
      </c>
      <c r="G145" s="245">
        <v>0</v>
      </c>
      <c r="H145" s="267">
        <f t="shared" si="23"/>
        <v>0</v>
      </c>
      <c r="I145" s="287"/>
      <c r="J145" s="288"/>
      <c r="L145"/>
    </row>
    <row r="146" spans="1:12" ht="14.25" x14ac:dyDescent="0.2">
      <c r="A146" s="36"/>
      <c r="B146" s="13"/>
      <c r="C146" s="13"/>
      <c r="D146" s="25" t="s">
        <v>199</v>
      </c>
      <c r="E146" s="34">
        <v>9730</v>
      </c>
      <c r="F146" s="245">
        <v>0</v>
      </c>
      <c r="G146" s="245">
        <v>0</v>
      </c>
      <c r="H146" s="267">
        <f t="shared" si="23"/>
        <v>0</v>
      </c>
      <c r="I146" s="287"/>
      <c r="J146" s="288"/>
      <c r="L146"/>
    </row>
    <row r="147" spans="1:12" ht="14.25" x14ac:dyDescent="0.2">
      <c r="A147" s="36"/>
      <c r="B147" s="13"/>
      <c r="C147" s="13"/>
      <c r="D147" s="13" t="s">
        <v>200</v>
      </c>
      <c r="E147" s="28">
        <v>9740</v>
      </c>
      <c r="F147" s="251"/>
      <c r="G147" s="245">
        <v>0</v>
      </c>
      <c r="H147" s="267">
        <f>SUM(G147)</f>
        <v>0</v>
      </c>
      <c r="I147" s="287"/>
      <c r="J147" s="288"/>
      <c r="L147"/>
    </row>
    <row r="148" spans="1:12" ht="14.25" x14ac:dyDescent="0.2">
      <c r="A148" s="36"/>
      <c r="B148" s="13"/>
      <c r="C148" s="13"/>
      <c r="D148" s="13" t="s">
        <v>201</v>
      </c>
      <c r="E148" s="28">
        <v>9770</v>
      </c>
      <c r="F148" s="245">
        <v>0</v>
      </c>
      <c r="G148" s="245">
        <v>0</v>
      </c>
      <c r="H148" s="267">
        <f t="shared" si="23"/>
        <v>0</v>
      </c>
      <c r="I148" s="287"/>
      <c r="J148" s="288"/>
      <c r="L148"/>
    </row>
    <row r="149" spans="1:12" ht="14.25" x14ac:dyDescent="0.2">
      <c r="A149" s="36"/>
      <c r="B149" s="13"/>
      <c r="C149" s="13"/>
      <c r="D149" s="13" t="s">
        <v>202</v>
      </c>
      <c r="E149" s="43" t="s">
        <v>203</v>
      </c>
      <c r="F149" s="245">
        <v>0</v>
      </c>
      <c r="G149" s="245">
        <v>0</v>
      </c>
      <c r="H149" s="278">
        <f t="shared" si="23"/>
        <v>0</v>
      </c>
      <c r="I149" s="287"/>
      <c r="J149" s="288"/>
      <c r="L149"/>
    </row>
    <row r="150" spans="1:12" ht="14.25" x14ac:dyDescent="0.2">
      <c r="A150" s="134"/>
      <c r="B150" s="135"/>
      <c r="C150" s="135"/>
      <c r="D150" s="136" t="s">
        <v>204</v>
      </c>
      <c r="E150" s="137">
        <v>9790</v>
      </c>
      <c r="F150" s="249">
        <f>SUM(+F140-F142-F143-F144-F145-F146-F148-F149)</f>
        <v>926245.62000000011</v>
      </c>
      <c r="G150" s="249">
        <f>SUM(+G140-G142-G143-G144-G145-G146-G147-G148-G149)</f>
        <v>37517.86</v>
      </c>
      <c r="H150" s="284">
        <f t="shared" si="23"/>
        <v>963763.4800000001</v>
      </c>
      <c r="I150" s="289">
        <f>I140</f>
        <v>683205.9</v>
      </c>
      <c r="J150" s="289">
        <f>J140</f>
        <v>849680.16</v>
      </c>
      <c r="L150"/>
    </row>
    <row r="151" spans="1:12" ht="15" x14ac:dyDescent="0.25">
      <c r="A151" s="138" t="s">
        <v>205</v>
      </c>
      <c r="B151" s="132" t="s">
        <v>206</v>
      </c>
      <c r="C151" s="13"/>
      <c r="D151" s="13"/>
      <c r="E151" s="20" t="s">
        <v>17</v>
      </c>
      <c r="F151" s="242"/>
      <c r="G151" s="242"/>
      <c r="H151" s="266"/>
      <c r="I151" s="290"/>
      <c r="J151" s="291"/>
      <c r="L151"/>
    </row>
    <row r="152" spans="1:12" ht="15" x14ac:dyDescent="0.25">
      <c r="A152" s="36"/>
      <c r="B152" s="37" t="s">
        <v>18</v>
      </c>
      <c r="C152" s="13" t="s">
        <v>207</v>
      </c>
      <c r="D152" s="13"/>
      <c r="E152" s="20" t="s">
        <v>17</v>
      </c>
      <c r="F152" s="244"/>
      <c r="G152" s="244"/>
      <c r="H152" s="266"/>
      <c r="I152" s="290"/>
      <c r="J152" s="291"/>
      <c r="L152"/>
    </row>
    <row r="153" spans="1:12" ht="15" x14ac:dyDescent="0.25">
      <c r="A153" s="36"/>
      <c r="B153" s="37"/>
      <c r="C153" s="13"/>
      <c r="D153" s="13" t="s">
        <v>208</v>
      </c>
      <c r="E153" s="22">
        <v>9110</v>
      </c>
      <c r="F153" s="232">
        <v>771385.32</v>
      </c>
      <c r="G153" s="229">
        <v>0</v>
      </c>
      <c r="H153" s="267">
        <f>SUM(F153:G153)</f>
        <v>771385.32</v>
      </c>
      <c r="I153" s="290"/>
      <c r="J153" s="291"/>
      <c r="L153"/>
    </row>
    <row r="154" spans="1:12" ht="15" x14ac:dyDescent="0.25">
      <c r="A154" s="36"/>
      <c r="B154" s="37"/>
      <c r="C154" s="13"/>
      <c r="D154" s="13" t="s">
        <v>209</v>
      </c>
      <c r="E154" s="28">
        <v>9111</v>
      </c>
      <c r="F154" s="233">
        <v>0</v>
      </c>
      <c r="G154" s="229">
        <v>0</v>
      </c>
      <c r="H154" s="267">
        <f t="shared" ref="H154:H165" si="24">SUM(F154:G154)</f>
        <v>0</v>
      </c>
      <c r="I154" s="290"/>
      <c r="J154" s="291"/>
      <c r="L154"/>
    </row>
    <row r="155" spans="1:12" ht="15" x14ac:dyDescent="0.25">
      <c r="A155" s="36"/>
      <c r="B155" s="37"/>
      <c r="C155" s="13"/>
      <c r="D155" s="13" t="s">
        <v>210</v>
      </c>
      <c r="E155" s="28">
        <v>9120</v>
      </c>
      <c r="F155" s="232">
        <f>158230.56+28095.51-G155</f>
        <v>148808.21000000002</v>
      </c>
      <c r="G155" s="233">
        <v>37517.86</v>
      </c>
      <c r="H155" s="267">
        <f t="shared" si="24"/>
        <v>186326.07</v>
      </c>
      <c r="I155" s="290"/>
      <c r="J155" s="291"/>
      <c r="L155"/>
    </row>
    <row r="156" spans="1:12" ht="15" x14ac:dyDescent="0.25">
      <c r="A156" s="36"/>
      <c r="B156" s="37"/>
      <c r="C156" s="13"/>
      <c r="D156" s="13" t="s">
        <v>211</v>
      </c>
      <c r="E156" s="28">
        <v>9130</v>
      </c>
      <c r="F156" s="233">
        <v>0</v>
      </c>
      <c r="G156" s="233">
        <v>0</v>
      </c>
      <c r="H156" s="267">
        <f t="shared" si="24"/>
        <v>0</v>
      </c>
      <c r="I156" s="290"/>
      <c r="J156" s="291"/>
      <c r="L156"/>
    </row>
    <row r="157" spans="1:12" ht="14.25" x14ac:dyDescent="0.2">
      <c r="A157" s="36"/>
      <c r="B157" s="13"/>
      <c r="C157" s="13"/>
      <c r="D157" s="13" t="s">
        <v>212</v>
      </c>
      <c r="E157" s="34">
        <v>9135</v>
      </c>
      <c r="F157" s="233">
        <v>0</v>
      </c>
      <c r="G157" s="233">
        <v>0</v>
      </c>
      <c r="H157" s="267">
        <f t="shared" si="24"/>
        <v>0</v>
      </c>
      <c r="I157" s="290"/>
      <c r="J157" s="291"/>
      <c r="L157"/>
    </row>
    <row r="158" spans="1:12" ht="14.25" x14ac:dyDescent="0.2">
      <c r="A158" s="36"/>
      <c r="B158" s="13"/>
      <c r="C158" s="13"/>
      <c r="D158" s="13" t="s">
        <v>213</v>
      </c>
      <c r="E158" s="34">
        <v>9140</v>
      </c>
      <c r="F158" s="233">
        <v>0</v>
      </c>
      <c r="G158" s="233">
        <v>0</v>
      </c>
      <c r="H158" s="267">
        <f t="shared" si="24"/>
        <v>0</v>
      </c>
      <c r="I158" s="290"/>
      <c r="J158" s="291"/>
      <c r="L158"/>
    </row>
    <row r="159" spans="1:12" ht="15" x14ac:dyDescent="0.25">
      <c r="A159" s="36"/>
      <c r="B159" s="37" t="s">
        <v>33</v>
      </c>
      <c r="C159" s="13" t="s">
        <v>214</v>
      </c>
      <c r="D159" s="13"/>
      <c r="E159" s="34">
        <v>9150</v>
      </c>
      <c r="F159" s="233">
        <v>0</v>
      </c>
      <c r="G159" s="233">
        <v>0</v>
      </c>
      <c r="H159" s="267">
        <f t="shared" si="24"/>
        <v>0</v>
      </c>
      <c r="I159" s="290"/>
      <c r="J159" s="291"/>
      <c r="L159"/>
    </row>
    <row r="160" spans="1:12" ht="15" x14ac:dyDescent="0.25">
      <c r="A160" s="36"/>
      <c r="B160" s="37" t="s">
        <v>42</v>
      </c>
      <c r="C160" s="13" t="s">
        <v>215</v>
      </c>
      <c r="D160" s="13"/>
      <c r="E160" s="34">
        <v>9200</v>
      </c>
      <c r="F160" s="233">
        <v>0</v>
      </c>
      <c r="G160" s="233">
        <v>0</v>
      </c>
      <c r="H160" s="267">
        <f t="shared" si="24"/>
        <v>0</v>
      </c>
      <c r="I160" s="290"/>
      <c r="J160" s="291"/>
      <c r="L160"/>
    </row>
    <row r="161" spans="1:12" ht="15" x14ac:dyDescent="0.25">
      <c r="A161" s="36"/>
      <c r="B161" s="37" t="s">
        <v>50</v>
      </c>
      <c r="C161" s="13" t="s">
        <v>216</v>
      </c>
      <c r="D161" s="13"/>
      <c r="E161" s="34">
        <v>9290</v>
      </c>
      <c r="F161" s="233">
        <v>0</v>
      </c>
      <c r="G161" s="245">
        <v>0</v>
      </c>
      <c r="H161" s="267">
        <f t="shared" si="24"/>
        <v>0</v>
      </c>
      <c r="I161" s="290"/>
      <c r="J161" s="291"/>
      <c r="L161"/>
    </row>
    <row r="162" spans="1:12" ht="15" x14ac:dyDescent="0.25">
      <c r="A162" s="36"/>
      <c r="B162" s="139" t="s">
        <v>57</v>
      </c>
      <c r="C162" s="13" t="s">
        <v>217</v>
      </c>
      <c r="D162" s="13"/>
      <c r="E162" s="34">
        <v>9320</v>
      </c>
      <c r="F162" s="245">
        <v>0</v>
      </c>
      <c r="G162" s="245">
        <v>0</v>
      </c>
      <c r="H162" s="267">
        <f t="shared" si="24"/>
        <v>0</v>
      </c>
      <c r="I162" s="290"/>
      <c r="J162" s="291"/>
      <c r="L162"/>
    </row>
    <row r="163" spans="1:12" ht="15" x14ac:dyDescent="0.25">
      <c r="A163" s="36"/>
      <c r="B163" s="139" t="s">
        <v>112</v>
      </c>
      <c r="C163" s="140" t="s">
        <v>218</v>
      </c>
      <c r="D163" s="13"/>
      <c r="E163" s="34">
        <v>9330</v>
      </c>
      <c r="F163" s="245">
        <v>1800</v>
      </c>
      <c r="G163" s="245">
        <v>0</v>
      </c>
      <c r="H163" s="267">
        <f t="shared" si="24"/>
        <v>1800</v>
      </c>
      <c r="I163" s="290"/>
      <c r="J163" s="291"/>
      <c r="L163"/>
    </row>
    <row r="164" spans="1:12" ht="15" x14ac:dyDescent="0.25">
      <c r="A164" s="36"/>
      <c r="B164" s="139" t="s">
        <v>125</v>
      </c>
      <c r="C164" s="13" t="s">
        <v>219</v>
      </c>
      <c r="D164" s="13"/>
      <c r="E164" s="35">
        <v>9340</v>
      </c>
      <c r="F164" s="245">
        <v>0</v>
      </c>
      <c r="G164" s="245">
        <v>0</v>
      </c>
      <c r="H164" s="267">
        <f t="shared" si="24"/>
        <v>0</v>
      </c>
      <c r="I164" s="290"/>
      <c r="J164" s="291"/>
      <c r="L164"/>
    </row>
    <row r="165" spans="1:12" ht="15" x14ac:dyDescent="0.25">
      <c r="A165" s="36"/>
      <c r="B165" s="139" t="s">
        <v>141</v>
      </c>
      <c r="C165" s="141" t="s">
        <v>220</v>
      </c>
      <c r="D165" s="13"/>
      <c r="E165" s="142" t="s">
        <v>221</v>
      </c>
      <c r="F165" s="237">
        <v>22864.18</v>
      </c>
      <c r="G165" s="245">
        <v>0</v>
      </c>
      <c r="H165" s="267">
        <f t="shared" si="24"/>
        <v>22864.18</v>
      </c>
      <c r="I165" s="290"/>
      <c r="J165" s="291"/>
      <c r="L165"/>
    </row>
    <row r="166" spans="1:12" ht="15" x14ac:dyDescent="0.25">
      <c r="A166" s="36"/>
      <c r="B166" s="139"/>
      <c r="C166" s="143"/>
      <c r="D166" s="13"/>
      <c r="E166" s="35" t="s">
        <v>17</v>
      </c>
      <c r="F166" s="253"/>
      <c r="G166" s="253"/>
      <c r="H166" s="270"/>
      <c r="I166" s="292"/>
      <c r="J166" s="293"/>
      <c r="L166"/>
    </row>
    <row r="167" spans="1:12" ht="15" x14ac:dyDescent="0.25">
      <c r="A167" s="36"/>
      <c r="B167" s="139" t="s">
        <v>222</v>
      </c>
      <c r="C167" s="13" t="s">
        <v>223</v>
      </c>
      <c r="D167" s="13"/>
      <c r="E167" s="20" t="s">
        <v>17</v>
      </c>
      <c r="F167" s="272">
        <f>SUM(F153:F165)</f>
        <v>944857.71000000008</v>
      </c>
      <c r="G167" s="272">
        <f>SUM(G153:G165)</f>
        <v>37517.86</v>
      </c>
      <c r="H167" s="273">
        <f>SUM(F167:G167)</f>
        <v>982375.57000000007</v>
      </c>
      <c r="I167" s="294"/>
      <c r="J167" s="295"/>
      <c r="L167"/>
    </row>
    <row r="168" spans="1:12" ht="14.25" x14ac:dyDescent="0.2">
      <c r="A168" s="36"/>
      <c r="B168" s="13"/>
      <c r="C168" s="13"/>
      <c r="D168" s="13"/>
      <c r="E168" s="20" t="s">
        <v>17</v>
      </c>
      <c r="F168" s="242"/>
      <c r="G168" s="242"/>
      <c r="H168" s="270"/>
      <c r="I168" s="290"/>
      <c r="J168" s="291"/>
      <c r="L168"/>
    </row>
    <row r="169" spans="1:12" ht="15" x14ac:dyDescent="0.25">
      <c r="A169" s="144" t="s">
        <v>224</v>
      </c>
      <c r="B169" s="132" t="s">
        <v>225</v>
      </c>
      <c r="C169" s="13"/>
      <c r="D169" s="13"/>
      <c r="E169" s="20" t="s">
        <v>17</v>
      </c>
      <c r="F169" s="285"/>
      <c r="G169" s="244"/>
      <c r="H169" s="266"/>
      <c r="I169" s="290"/>
      <c r="J169" s="291"/>
      <c r="L169"/>
    </row>
    <row r="170" spans="1:12" ht="15" x14ac:dyDescent="0.25">
      <c r="A170" s="36"/>
      <c r="B170" s="37" t="s">
        <v>18</v>
      </c>
      <c r="C170" s="13" t="s">
        <v>226</v>
      </c>
      <c r="D170" s="13"/>
      <c r="E170" s="145">
        <v>9500</v>
      </c>
      <c r="F170" s="232">
        <v>18612.09</v>
      </c>
      <c r="G170" s="229">
        <v>0</v>
      </c>
      <c r="H170" s="267">
        <f>SUM(F170:G170)</f>
        <v>18612.09</v>
      </c>
      <c r="I170" s="290"/>
      <c r="J170" s="291"/>
      <c r="L170"/>
    </row>
    <row r="171" spans="1:12" ht="15" x14ac:dyDescent="0.25">
      <c r="A171" s="36"/>
      <c r="B171" s="37" t="s">
        <v>33</v>
      </c>
      <c r="C171" s="13" t="s">
        <v>227</v>
      </c>
      <c r="D171" s="13"/>
      <c r="E171" s="146">
        <v>9590</v>
      </c>
      <c r="F171" s="232">
        <v>0</v>
      </c>
      <c r="G171" s="229">
        <v>0</v>
      </c>
      <c r="H171" s="267">
        <f>SUM(F171:G171)</f>
        <v>0</v>
      </c>
      <c r="I171" s="290"/>
      <c r="J171" s="291"/>
      <c r="L171"/>
    </row>
    <row r="172" spans="1:12" ht="15" x14ac:dyDescent="0.25">
      <c r="A172" s="36"/>
      <c r="B172" s="37" t="s">
        <v>42</v>
      </c>
      <c r="C172" s="13" t="s">
        <v>228</v>
      </c>
      <c r="D172" s="13"/>
      <c r="E172" s="146">
        <v>9640</v>
      </c>
      <c r="F172" s="232">
        <v>0</v>
      </c>
      <c r="G172" s="229">
        <v>0</v>
      </c>
      <c r="H172" s="267">
        <f>SUM(F172:G172)</f>
        <v>0</v>
      </c>
      <c r="I172" s="290"/>
      <c r="J172" s="291"/>
      <c r="L172"/>
    </row>
    <row r="173" spans="1:12" ht="15" x14ac:dyDescent="0.25">
      <c r="A173" s="36"/>
      <c r="B173" s="37" t="s">
        <v>50</v>
      </c>
      <c r="C173" s="13" t="s">
        <v>229</v>
      </c>
      <c r="D173" s="13"/>
      <c r="E173" s="146">
        <v>9650</v>
      </c>
      <c r="F173" s="232">
        <v>0</v>
      </c>
      <c r="G173" s="229">
        <v>0</v>
      </c>
      <c r="H173" s="267">
        <f>SUM(F173:G173)</f>
        <v>0</v>
      </c>
      <c r="I173" s="290"/>
      <c r="J173" s="291"/>
      <c r="L173"/>
    </row>
    <row r="174" spans="1:12" ht="15" x14ac:dyDescent="0.25">
      <c r="A174" s="36"/>
      <c r="B174" s="37" t="s">
        <v>57</v>
      </c>
      <c r="C174" s="141" t="s">
        <v>230</v>
      </c>
      <c r="D174" s="13"/>
      <c r="E174" s="147" t="s">
        <v>231</v>
      </c>
      <c r="F174" s="232">
        <v>0</v>
      </c>
      <c r="G174" s="229">
        <v>0</v>
      </c>
      <c r="H174" s="267">
        <f>SUM(F174:G174)</f>
        <v>0</v>
      </c>
      <c r="I174" s="290"/>
      <c r="J174" s="291"/>
      <c r="L174"/>
    </row>
    <row r="175" spans="1:12" ht="15" x14ac:dyDescent="0.25">
      <c r="A175" s="36"/>
      <c r="B175" s="37"/>
      <c r="C175" s="143"/>
      <c r="D175" s="13"/>
      <c r="E175" s="148" t="s">
        <v>17</v>
      </c>
      <c r="F175" s="253"/>
      <c r="G175" s="253"/>
      <c r="H175" s="270"/>
      <c r="I175" s="292"/>
      <c r="J175" s="293"/>
      <c r="L175"/>
    </row>
    <row r="176" spans="1:12" ht="15" x14ac:dyDescent="0.25">
      <c r="A176" s="36"/>
      <c r="B176" s="37" t="s">
        <v>112</v>
      </c>
      <c r="C176" s="13" t="s">
        <v>232</v>
      </c>
      <c r="D176" s="13"/>
      <c r="E176" s="20" t="s">
        <v>17</v>
      </c>
      <c r="F176" s="254">
        <f>SUM(F170:F174)</f>
        <v>18612.09</v>
      </c>
      <c r="G176" s="254">
        <f>SUM(G170:G174)</f>
        <v>0</v>
      </c>
      <c r="H176" s="271">
        <f>SUM(F176:G176)</f>
        <v>18612.09</v>
      </c>
      <c r="I176" s="294"/>
      <c r="J176" s="295"/>
      <c r="L176"/>
    </row>
    <row r="177" spans="1:12" ht="14.25" x14ac:dyDescent="0.2">
      <c r="A177" s="36"/>
      <c r="B177" s="13"/>
      <c r="C177" s="13"/>
      <c r="D177" s="13"/>
      <c r="E177" s="20" t="s">
        <v>17</v>
      </c>
      <c r="F177" s="253"/>
      <c r="G177" s="253"/>
      <c r="H177" s="270"/>
      <c r="I177" s="290"/>
      <c r="J177" s="291"/>
      <c r="L177"/>
    </row>
    <row r="178" spans="1:12" ht="15" x14ac:dyDescent="0.25">
      <c r="A178" s="144" t="s">
        <v>233</v>
      </c>
      <c r="B178" s="132" t="s">
        <v>234</v>
      </c>
      <c r="C178" s="13"/>
      <c r="D178" s="13"/>
      <c r="E178" s="20" t="s">
        <v>17</v>
      </c>
      <c r="F178" s="262"/>
      <c r="G178" s="262"/>
      <c r="H178" s="266"/>
      <c r="I178" s="290"/>
      <c r="J178" s="291"/>
      <c r="L178"/>
    </row>
    <row r="179" spans="1:12" ht="15.75" thickBot="1" x14ac:dyDescent="0.3">
      <c r="A179" s="144"/>
      <c r="B179" s="132"/>
      <c r="C179" s="13" t="s">
        <v>235</v>
      </c>
      <c r="D179" s="13"/>
      <c r="E179" s="20"/>
      <c r="F179" s="262" t="str">
        <f>IF(K178=0,"","(must = Line F2)")</f>
        <v/>
      </c>
      <c r="G179" s="262" t="str">
        <f>IF(L178=0,"","(must = Line F2)")</f>
        <v/>
      </c>
      <c r="H179" s="266" t="str">
        <f>IF(M178=0,"","(must = Line F2)")</f>
        <v/>
      </c>
      <c r="I179" s="290"/>
      <c r="J179" s="291"/>
      <c r="L179"/>
    </row>
    <row r="180" spans="1:12" ht="15" thickBot="1" x14ac:dyDescent="0.25">
      <c r="A180" s="134"/>
      <c r="B180" s="135"/>
      <c r="C180" s="135" t="s">
        <v>236</v>
      </c>
      <c r="D180" s="135"/>
      <c r="E180" s="40" t="s">
        <v>17</v>
      </c>
      <c r="F180" s="226">
        <f>F167-F176</f>
        <v>926245.62000000011</v>
      </c>
      <c r="G180" s="226">
        <f>G167-G176</f>
        <v>37517.86</v>
      </c>
      <c r="H180" s="227">
        <f>H167-H176</f>
        <v>963763.4800000001</v>
      </c>
      <c r="I180" s="296"/>
      <c r="J180" s="297"/>
      <c r="L180"/>
    </row>
    <row r="181" spans="1:12" ht="14.25" x14ac:dyDescent="0.2">
      <c r="A181" s="1"/>
      <c r="B181" s="1"/>
      <c r="C181" s="1"/>
      <c r="D181" s="1"/>
      <c r="E181" s="1"/>
      <c r="F181" s="165"/>
      <c r="G181" s="165"/>
      <c r="H181" s="165"/>
      <c r="I181" s="165"/>
      <c r="J181" s="166"/>
      <c r="L181"/>
    </row>
    <row r="182" spans="1:12" ht="15" x14ac:dyDescent="0.25">
      <c r="A182" s="1"/>
      <c r="B182" s="1"/>
      <c r="C182" s="1"/>
      <c r="D182" s="1"/>
      <c r="E182" s="1"/>
      <c r="F182" s="167">
        <f>F180-F140</f>
        <v>0</v>
      </c>
      <c r="G182" s="167">
        <f>G180-G140</f>
        <v>0</v>
      </c>
      <c r="H182" s="167">
        <f>H180-H140</f>
        <v>0</v>
      </c>
      <c r="I182" s="165"/>
      <c r="J182" s="166"/>
      <c r="L182"/>
    </row>
    <row r="183" spans="1:12" ht="14.25" x14ac:dyDescent="0.2">
      <c r="A183" s="1"/>
      <c r="B183" s="1"/>
      <c r="C183" s="1"/>
      <c r="D183" s="1"/>
      <c r="E183" s="1"/>
      <c r="F183" s="165"/>
      <c r="G183" s="165"/>
      <c r="H183" s="165"/>
      <c r="I183" s="165"/>
      <c r="J183" s="166"/>
      <c r="L183"/>
    </row>
    <row r="184" spans="1:12" ht="15" x14ac:dyDescent="0.25">
      <c r="A184" s="149" t="s">
        <v>237</v>
      </c>
      <c r="B184" s="150"/>
      <c r="C184" s="149"/>
      <c r="D184" s="149"/>
      <c r="E184" s="149"/>
      <c r="F184" s="168"/>
      <c r="G184" s="165"/>
      <c r="H184" s="169"/>
      <c r="I184" s="165"/>
      <c r="J184" s="166"/>
      <c r="L184"/>
    </row>
    <row r="185" spans="1:12" ht="15" x14ac:dyDescent="0.25">
      <c r="A185" s="1"/>
      <c r="B185" s="151"/>
      <c r="C185" s="1"/>
      <c r="D185" s="149" t="s">
        <v>238</v>
      </c>
      <c r="E185" s="1"/>
      <c r="F185" s="165"/>
      <c r="G185" s="165"/>
      <c r="H185" s="165"/>
      <c r="I185" s="165"/>
      <c r="J185" s="166"/>
      <c r="L185"/>
    </row>
    <row r="186" spans="1:12" ht="14.25" x14ac:dyDescent="0.2">
      <c r="A186" s="1"/>
      <c r="B186" s="1"/>
      <c r="C186" s="1"/>
      <c r="D186" s="1"/>
      <c r="E186" s="1"/>
      <c r="F186" s="165"/>
      <c r="G186" s="165"/>
      <c r="H186" s="165"/>
      <c r="I186" s="165"/>
      <c r="J186" s="166"/>
      <c r="L186"/>
    </row>
    <row r="187" spans="1:12" ht="15" x14ac:dyDescent="0.25">
      <c r="A187" s="1"/>
      <c r="B187" s="152" t="s">
        <v>18</v>
      </c>
      <c r="C187" s="149" t="s">
        <v>239</v>
      </c>
      <c r="D187" s="149"/>
      <c r="E187" s="1"/>
      <c r="F187" s="170"/>
      <c r="G187" s="165"/>
      <c r="H187" s="165"/>
      <c r="I187" s="165"/>
      <c r="J187" s="166"/>
      <c r="L187"/>
    </row>
    <row r="188" spans="1:12" ht="14.25" x14ac:dyDescent="0.2">
      <c r="A188" s="1"/>
      <c r="B188" s="1" t="s">
        <v>17</v>
      </c>
      <c r="C188" s="153" t="s">
        <v>240</v>
      </c>
      <c r="D188" s="1"/>
      <c r="E188" s="1"/>
      <c r="F188" s="170"/>
      <c r="G188" s="165"/>
      <c r="H188" s="165"/>
      <c r="I188" s="165"/>
      <c r="J188" s="166"/>
      <c r="L188"/>
    </row>
    <row r="189" spans="1:12" ht="14.25" x14ac:dyDescent="0.2">
      <c r="A189" s="1"/>
      <c r="B189" s="1"/>
      <c r="C189" s="153" t="s">
        <v>241</v>
      </c>
      <c r="D189" s="154"/>
      <c r="E189" s="1"/>
      <c r="F189" s="170"/>
      <c r="G189" s="165"/>
      <c r="H189" s="165"/>
      <c r="I189" s="165"/>
      <c r="J189" s="166"/>
      <c r="L189"/>
    </row>
    <row r="190" spans="1:12" ht="14.25" x14ac:dyDescent="0.2">
      <c r="A190" s="1"/>
      <c r="B190" s="1"/>
      <c r="C190" s="1"/>
      <c r="D190" s="1"/>
      <c r="E190" s="1"/>
      <c r="F190" s="170"/>
      <c r="G190" s="165"/>
      <c r="H190" s="165"/>
      <c r="I190" s="165"/>
      <c r="J190" s="166"/>
      <c r="L190"/>
    </row>
    <row r="191" spans="1:12" ht="15" thickBot="1" x14ac:dyDescent="0.25">
      <c r="A191" s="1"/>
      <c r="B191" s="1"/>
      <c r="C191" s="1"/>
      <c r="D191" s="155" t="s">
        <v>242</v>
      </c>
      <c r="E191" s="156"/>
      <c r="F191" s="171" t="s">
        <v>243</v>
      </c>
      <c r="G191" s="171" t="s">
        <v>244</v>
      </c>
      <c r="H191" s="171" t="s">
        <v>245</v>
      </c>
      <c r="I191" s="165"/>
      <c r="J191" s="166"/>
      <c r="L191"/>
    </row>
    <row r="192" spans="1:12" ht="14.25" x14ac:dyDescent="0.2">
      <c r="A192" s="1"/>
      <c r="B192" s="1"/>
      <c r="C192" s="1"/>
      <c r="D192" s="1"/>
      <c r="E192" s="1"/>
      <c r="F192" s="170"/>
      <c r="G192" s="172"/>
      <c r="H192" s="173"/>
      <c r="I192" s="165"/>
      <c r="J192" s="166"/>
      <c r="L192"/>
    </row>
    <row r="193" spans="1:12" ht="14.25" x14ac:dyDescent="0.2">
      <c r="A193" s="1"/>
      <c r="B193" s="1"/>
      <c r="C193" s="1" t="s">
        <v>187</v>
      </c>
      <c r="D193" s="157" t="s">
        <v>246</v>
      </c>
      <c r="E193" s="158" t="s">
        <v>247</v>
      </c>
      <c r="F193" s="174">
        <v>0</v>
      </c>
      <c r="G193" s="175">
        <v>0</v>
      </c>
      <c r="H193" s="176">
        <f>SUM(F193,G193)</f>
        <v>0</v>
      </c>
      <c r="I193" s="165"/>
      <c r="J193" s="166"/>
      <c r="L193"/>
    </row>
    <row r="194" spans="1:12" ht="14.25" x14ac:dyDescent="0.2">
      <c r="A194" s="1"/>
      <c r="B194" s="1"/>
      <c r="C194" s="1" t="s">
        <v>189</v>
      </c>
      <c r="D194" s="157" t="s">
        <v>246</v>
      </c>
      <c r="E194" s="1"/>
      <c r="F194" s="174">
        <v>0</v>
      </c>
      <c r="G194" s="175">
        <v>0</v>
      </c>
      <c r="H194" s="176">
        <f>SUM(F194,G194)</f>
        <v>0</v>
      </c>
      <c r="I194" s="165"/>
      <c r="J194" s="166"/>
      <c r="L194"/>
    </row>
    <row r="195" spans="1:12" ht="14.25" x14ac:dyDescent="0.2">
      <c r="A195" s="1"/>
      <c r="B195" s="1"/>
      <c r="C195" s="1" t="s">
        <v>192</v>
      </c>
      <c r="D195" s="157" t="s">
        <v>246</v>
      </c>
      <c r="E195" s="1"/>
      <c r="F195" s="174">
        <v>0</v>
      </c>
      <c r="G195" s="175">
        <v>0</v>
      </c>
      <c r="H195" s="176">
        <f t="shared" ref="H195:H201" si="25">SUM(F195,G195)</f>
        <v>0</v>
      </c>
      <c r="I195" s="165"/>
      <c r="J195" s="166"/>
      <c r="L195"/>
    </row>
    <row r="196" spans="1:12" ht="14.25" x14ac:dyDescent="0.2">
      <c r="A196" s="1"/>
      <c r="B196" s="1"/>
      <c r="C196" s="1" t="s">
        <v>248</v>
      </c>
      <c r="D196" s="157" t="s">
        <v>246</v>
      </c>
      <c r="E196" s="1"/>
      <c r="F196" s="174">
        <v>0</v>
      </c>
      <c r="G196" s="175">
        <v>0</v>
      </c>
      <c r="H196" s="176">
        <f t="shared" si="25"/>
        <v>0</v>
      </c>
      <c r="I196" s="165"/>
      <c r="J196" s="166"/>
      <c r="L196"/>
    </row>
    <row r="197" spans="1:12" ht="14.25" x14ac:dyDescent="0.2">
      <c r="A197" s="1"/>
      <c r="B197" s="1"/>
      <c r="C197" s="1" t="s">
        <v>249</v>
      </c>
      <c r="D197" s="157" t="s">
        <v>246</v>
      </c>
      <c r="E197" s="1"/>
      <c r="F197" s="174">
        <v>0</v>
      </c>
      <c r="G197" s="175">
        <v>0</v>
      </c>
      <c r="H197" s="176">
        <f t="shared" si="25"/>
        <v>0</v>
      </c>
      <c r="I197" s="165"/>
      <c r="J197" s="166"/>
      <c r="L197"/>
    </row>
    <row r="198" spans="1:12" ht="14.25" x14ac:dyDescent="0.2">
      <c r="A198" s="1"/>
      <c r="B198" s="1"/>
      <c r="C198" s="1" t="s">
        <v>250</v>
      </c>
      <c r="D198" s="157" t="s">
        <v>246</v>
      </c>
      <c r="E198" s="1"/>
      <c r="F198" s="174">
        <v>0</v>
      </c>
      <c r="G198" s="175">
        <v>0</v>
      </c>
      <c r="H198" s="176">
        <f t="shared" si="25"/>
        <v>0</v>
      </c>
      <c r="I198" s="165"/>
      <c r="J198" s="166"/>
      <c r="L198"/>
    </row>
    <row r="199" spans="1:12" ht="14.25" x14ac:dyDescent="0.2">
      <c r="A199" s="1"/>
      <c r="B199" s="1"/>
      <c r="C199" s="1" t="s">
        <v>251</v>
      </c>
      <c r="D199" s="157" t="s">
        <v>246</v>
      </c>
      <c r="E199" s="1"/>
      <c r="F199" s="174">
        <v>0</v>
      </c>
      <c r="G199" s="175">
        <v>0</v>
      </c>
      <c r="H199" s="176">
        <f t="shared" si="25"/>
        <v>0</v>
      </c>
      <c r="I199" s="165"/>
      <c r="J199" s="166"/>
      <c r="L199"/>
    </row>
    <row r="200" spans="1:12" ht="14.25" x14ac:dyDescent="0.2">
      <c r="A200" s="1"/>
      <c r="B200" s="1"/>
      <c r="C200" s="1" t="s">
        <v>252</v>
      </c>
      <c r="D200" s="157" t="s">
        <v>246</v>
      </c>
      <c r="E200" s="1"/>
      <c r="F200" s="174">
        <v>0</v>
      </c>
      <c r="G200" s="175">
        <v>0</v>
      </c>
      <c r="H200" s="176">
        <f t="shared" si="25"/>
        <v>0</v>
      </c>
      <c r="I200" s="165"/>
      <c r="J200" s="166"/>
      <c r="L200"/>
    </row>
    <row r="201" spans="1:12" ht="14.25" x14ac:dyDescent="0.2">
      <c r="A201" s="1"/>
      <c r="B201" s="1"/>
      <c r="C201" s="1" t="s">
        <v>253</v>
      </c>
      <c r="D201" s="157" t="s">
        <v>246</v>
      </c>
      <c r="E201" s="1"/>
      <c r="F201" s="174">
        <v>0</v>
      </c>
      <c r="G201" s="175">
        <v>0</v>
      </c>
      <c r="H201" s="176">
        <f t="shared" si="25"/>
        <v>0</v>
      </c>
      <c r="I201" s="165"/>
      <c r="J201" s="166"/>
      <c r="L201"/>
    </row>
    <row r="202" spans="1:12" ht="14.25" x14ac:dyDescent="0.2">
      <c r="A202" s="3"/>
      <c r="B202" s="1"/>
      <c r="C202" s="1" t="s">
        <v>254</v>
      </c>
      <c r="D202" s="157" t="s">
        <v>246</v>
      </c>
      <c r="E202" s="1"/>
      <c r="F202" s="174">
        <v>0</v>
      </c>
      <c r="G202" s="175">
        <v>0</v>
      </c>
      <c r="H202" s="176">
        <f>SUM(F202,G202)</f>
        <v>0</v>
      </c>
      <c r="I202" s="165"/>
      <c r="J202" s="166"/>
      <c r="L202"/>
    </row>
    <row r="203" spans="1:12" ht="14.25" x14ac:dyDescent="0.2">
      <c r="A203" s="1"/>
      <c r="B203" s="1"/>
      <c r="C203" s="1"/>
      <c r="D203" s="1"/>
      <c r="E203" s="1"/>
      <c r="F203" s="178"/>
      <c r="G203" s="179"/>
      <c r="H203" s="178"/>
      <c r="I203" s="165"/>
      <c r="J203" s="166"/>
      <c r="L203"/>
    </row>
    <row r="204" spans="1:12" ht="15" thickBot="1" x14ac:dyDescent="0.25">
      <c r="A204" s="1"/>
      <c r="B204" s="1"/>
      <c r="C204" s="1"/>
      <c r="D204" s="1" t="s">
        <v>255</v>
      </c>
      <c r="E204" s="1"/>
      <c r="F204" s="180">
        <f>SUM(F193:F202)</f>
        <v>0</v>
      </c>
      <c r="G204" s="181">
        <f>SUM(G193:G202)</f>
        <v>0</v>
      </c>
      <c r="H204" s="180">
        <f>SUM(F204:G204)</f>
        <v>0</v>
      </c>
      <c r="I204" s="165"/>
      <c r="J204" s="166"/>
      <c r="L204"/>
    </row>
    <row r="205" spans="1:12" ht="15" thickTop="1" x14ac:dyDescent="0.2">
      <c r="A205" s="1"/>
      <c r="B205" s="1"/>
      <c r="C205" s="1"/>
      <c r="D205" s="1"/>
      <c r="E205" s="1"/>
      <c r="F205" s="182"/>
      <c r="G205" s="182"/>
      <c r="H205" s="182"/>
      <c r="I205" s="165"/>
      <c r="J205" s="166"/>
      <c r="L205"/>
    </row>
    <row r="206" spans="1:12" ht="14.25" x14ac:dyDescent="0.2">
      <c r="A206" s="1"/>
      <c r="B206" s="1"/>
      <c r="C206" s="1"/>
      <c r="D206" s="1"/>
      <c r="E206" s="1"/>
      <c r="F206" s="170"/>
      <c r="G206" s="165"/>
      <c r="H206" s="165"/>
      <c r="I206" s="165"/>
      <c r="J206" s="166"/>
      <c r="L206"/>
    </row>
    <row r="207" spans="1:12" ht="15" x14ac:dyDescent="0.25">
      <c r="A207" s="1"/>
      <c r="B207" s="152" t="s">
        <v>33</v>
      </c>
      <c r="C207" s="149" t="s">
        <v>256</v>
      </c>
      <c r="D207" s="149"/>
      <c r="E207" s="1"/>
      <c r="F207" s="165"/>
      <c r="G207" s="165"/>
      <c r="H207" s="165"/>
      <c r="I207" s="165"/>
      <c r="J207" s="166"/>
      <c r="L207"/>
    </row>
    <row r="208" spans="1:12" ht="14.25" x14ac:dyDescent="0.2">
      <c r="A208" s="1"/>
      <c r="B208" s="1" t="s">
        <v>17</v>
      </c>
      <c r="C208" s="1" t="s">
        <v>257</v>
      </c>
      <c r="D208" s="1"/>
      <c r="E208" s="1"/>
      <c r="F208" s="165"/>
      <c r="G208" s="165"/>
      <c r="H208" s="165"/>
      <c r="I208" s="165"/>
      <c r="J208" s="166"/>
      <c r="L208"/>
    </row>
    <row r="209" spans="1:12" ht="14.25" x14ac:dyDescent="0.2">
      <c r="A209" s="1"/>
      <c r="B209" s="1"/>
      <c r="C209" s="153" t="s">
        <v>258</v>
      </c>
      <c r="D209" s="3"/>
      <c r="E209" s="1"/>
      <c r="F209" s="165"/>
      <c r="G209" s="165"/>
      <c r="H209" s="165"/>
      <c r="I209" s="165"/>
      <c r="J209" s="166"/>
      <c r="L209"/>
    </row>
    <row r="210" spans="1:12" ht="14.25" x14ac:dyDescent="0.2">
      <c r="A210" s="1"/>
      <c r="B210" s="159"/>
      <c r="C210" s="1"/>
      <c r="D210" s="1"/>
      <c r="E210" s="1"/>
      <c r="F210" s="183" t="s">
        <v>259</v>
      </c>
      <c r="G210" s="165"/>
      <c r="H210" s="165"/>
      <c r="I210" s="165"/>
      <c r="J210" s="166"/>
      <c r="L210"/>
    </row>
    <row r="211" spans="1:12" ht="15" thickBot="1" x14ac:dyDescent="0.25">
      <c r="A211" s="1"/>
      <c r="B211" s="1"/>
      <c r="C211" s="1"/>
      <c r="D211" s="160" t="s">
        <v>260</v>
      </c>
      <c r="E211" s="161"/>
      <c r="F211" s="184" t="s">
        <v>261</v>
      </c>
      <c r="G211" s="165"/>
      <c r="H211" s="165"/>
      <c r="I211" s="165"/>
      <c r="J211" s="166"/>
      <c r="L211"/>
    </row>
    <row r="212" spans="1:12" ht="14.25" x14ac:dyDescent="0.2">
      <c r="A212" s="1"/>
      <c r="B212" s="1"/>
      <c r="C212" s="1"/>
      <c r="D212" s="162"/>
      <c r="E212" s="161"/>
      <c r="F212" s="185"/>
      <c r="G212" s="165"/>
      <c r="H212" s="165"/>
      <c r="I212" s="165"/>
      <c r="J212" s="166"/>
      <c r="L212"/>
    </row>
    <row r="213" spans="1:12" ht="14.25" x14ac:dyDescent="0.2">
      <c r="A213" s="1"/>
      <c r="B213" s="1"/>
      <c r="C213" s="1" t="s">
        <v>187</v>
      </c>
      <c r="D213" s="1" t="s">
        <v>262</v>
      </c>
      <c r="E213" s="158" t="s">
        <v>247</v>
      </c>
      <c r="F213" s="174">
        <v>0</v>
      </c>
      <c r="G213" s="165"/>
      <c r="H213" s="165"/>
      <c r="I213" s="165"/>
      <c r="J213" s="166"/>
      <c r="L213"/>
    </row>
    <row r="214" spans="1:12" ht="14.25" x14ac:dyDescent="0.2">
      <c r="A214" s="1"/>
      <c r="B214" s="1"/>
      <c r="C214" s="1" t="s">
        <v>189</v>
      </c>
      <c r="D214" s="1" t="s">
        <v>263</v>
      </c>
      <c r="E214" s="1"/>
      <c r="F214" s="177">
        <v>0</v>
      </c>
      <c r="G214" s="165"/>
      <c r="H214" s="165"/>
      <c r="I214" s="165"/>
      <c r="J214" s="166"/>
      <c r="L214"/>
    </row>
    <row r="215" spans="1:12" ht="14.25" x14ac:dyDescent="0.2">
      <c r="A215" s="1"/>
      <c r="B215" s="1"/>
      <c r="C215" s="1" t="s">
        <v>192</v>
      </c>
      <c r="D215" s="1" t="s">
        <v>74</v>
      </c>
      <c r="E215" s="1"/>
      <c r="F215" s="177">
        <v>0</v>
      </c>
      <c r="G215" s="165"/>
      <c r="H215" s="165"/>
      <c r="I215" s="165"/>
      <c r="J215" s="166"/>
      <c r="L215"/>
    </row>
    <row r="216" spans="1:12" ht="14.25" x14ac:dyDescent="0.2">
      <c r="A216" s="1"/>
      <c r="B216" s="1"/>
      <c r="C216" s="1" t="s">
        <v>248</v>
      </c>
      <c r="D216" s="1" t="s">
        <v>94</v>
      </c>
      <c r="E216" s="1"/>
      <c r="F216" s="174">
        <v>0</v>
      </c>
      <c r="G216" s="165"/>
      <c r="H216" s="165"/>
      <c r="I216" s="165"/>
      <c r="J216" s="166"/>
      <c r="L216"/>
    </row>
    <row r="217" spans="1:12" ht="14.25" x14ac:dyDescent="0.2">
      <c r="A217" s="1"/>
      <c r="B217" s="3"/>
      <c r="C217" s="3" t="s">
        <v>249</v>
      </c>
      <c r="D217" s="3" t="s">
        <v>101</v>
      </c>
      <c r="E217" s="3"/>
      <c r="F217" s="174">
        <v>0</v>
      </c>
      <c r="G217" s="165"/>
      <c r="H217" s="165"/>
      <c r="I217" s="165"/>
      <c r="J217" s="166"/>
      <c r="L217"/>
    </row>
    <row r="218" spans="1:12" ht="14.25" x14ac:dyDescent="0.2">
      <c r="A218" s="1"/>
      <c r="B218" s="1"/>
      <c r="C218" s="1"/>
      <c r="D218" s="1"/>
      <c r="E218" s="1"/>
      <c r="F218" s="173"/>
      <c r="G218" s="165"/>
      <c r="H218" s="165"/>
      <c r="I218" s="165"/>
      <c r="J218" s="166"/>
      <c r="L218"/>
    </row>
    <row r="219" spans="1:12" ht="15" thickBot="1" x14ac:dyDescent="0.25">
      <c r="A219" s="1"/>
      <c r="B219" s="1"/>
      <c r="C219" s="1"/>
      <c r="D219" s="1" t="s">
        <v>264</v>
      </c>
      <c r="E219" s="1"/>
      <c r="F219" s="180">
        <f>SUM(F213:F217)</f>
        <v>0</v>
      </c>
      <c r="G219" s="165"/>
      <c r="H219" s="165"/>
      <c r="I219" s="165"/>
      <c r="J219" s="166"/>
      <c r="L219"/>
    </row>
    <row r="220" spans="1:12" ht="15" thickTop="1" x14ac:dyDescent="0.2">
      <c r="A220" s="49"/>
      <c r="B220" s="1"/>
      <c r="C220" s="1"/>
      <c r="D220" s="1"/>
      <c r="E220" s="1"/>
      <c r="F220" s="170"/>
      <c r="G220" s="165"/>
      <c r="H220" s="165"/>
      <c r="I220" s="165"/>
      <c r="J220" s="166"/>
      <c r="L220"/>
    </row>
    <row r="221" spans="1:12" ht="14.25" x14ac:dyDescent="0.2">
      <c r="A221" s="1"/>
      <c r="B221" s="1"/>
      <c r="C221" s="1"/>
      <c r="D221" s="1"/>
      <c r="E221" s="1"/>
      <c r="F221" s="165"/>
      <c r="G221" s="165"/>
      <c r="H221" s="165"/>
      <c r="I221" s="165"/>
      <c r="J221" s="166"/>
      <c r="L221"/>
    </row>
    <row r="222" spans="1:12" ht="14.25" x14ac:dyDescent="0.2">
      <c r="A222" s="1"/>
      <c r="B222" s="1"/>
      <c r="C222" s="1"/>
      <c r="D222" s="1"/>
      <c r="E222" s="1"/>
      <c r="F222" s="165"/>
      <c r="G222" s="165"/>
      <c r="H222" s="165"/>
      <c r="I222" s="165"/>
      <c r="J222" s="166"/>
      <c r="L222"/>
    </row>
    <row r="223" spans="1:12" x14ac:dyDescent="0.2">
      <c r="F223" s="166"/>
      <c r="G223" s="166"/>
      <c r="H223" s="166"/>
      <c r="I223" s="166"/>
      <c r="J223" s="166"/>
      <c r="L223"/>
    </row>
    <row r="224" spans="1:12" x14ac:dyDescent="0.2">
      <c r="F224" s="166"/>
      <c r="G224" s="166"/>
      <c r="H224" s="166"/>
      <c r="I224" s="166"/>
      <c r="J224" s="166"/>
      <c r="L224"/>
    </row>
    <row r="225" spans="6:12" x14ac:dyDescent="0.2">
      <c r="F225" s="166"/>
      <c r="G225" s="166"/>
      <c r="H225" s="166"/>
      <c r="I225" s="166"/>
      <c r="J225" s="166"/>
      <c r="L225"/>
    </row>
    <row r="226" spans="6:12" x14ac:dyDescent="0.2">
      <c r="F226" s="166"/>
      <c r="G226" s="166"/>
      <c r="H226" s="166"/>
      <c r="I226" s="166"/>
      <c r="J226" s="166"/>
      <c r="L226"/>
    </row>
    <row r="227" spans="6:12" x14ac:dyDescent="0.2">
      <c r="F227" s="166"/>
      <c r="G227" s="166"/>
      <c r="H227" s="166"/>
      <c r="I227" s="166"/>
      <c r="J227" s="166"/>
      <c r="L227"/>
    </row>
  </sheetData>
  <mergeCells count="9">
    <mergeCell ref="A1:H1"/>
    <mergeCell ref="A2:H2"/>
    <mergeCell ref="A3:H3"/>
    <mergeCell ref="A5:D5"/>
    <mergeCell ref="C11:E11"/>
    <mergeCell ref="A8:D8"/>
    <mergeCell ref="A9:D9"/>
    <mergeCell ref="A6:D6"/>
    <mergeCell ref="A7:D7"/>
  </mergeCells>
  <phoneticPr fontId="0" type="noConversion"/>
  <conditionalFormatting sqref="H129">
    <cfRule type="cellIs" dxfId="10" priority="1" stopIfTrue="1" operator="notEqual">
      <formula>0</formula>
    </cfRule>
  </conditionalFormatting>
  <conditionalFormatting sqref="H128">
    <cfRule type="expression" dxfId="9" priority="2" stopIfTrue="1">
      <formula>$H$129&lt;&gt;0</formula>
    </cfRule>
  </conditionalFormatting>
  <conditionalFormatting sqref="F179">
    <cfRule type="expression" dxfId="8" priority="3" stopIfTrue="1">
      <formula>$F$179="(must = Line F2)"</formula>
    </cfRule>
    <cfRule type="expression" dxfId="7" priority="4" stopIfTrue="1">
      <formula>$F$179&lt;&gt;"(must = Line F2)"</formula>
    </cfRule>
  </conditionalFormatting>
  <conditionalFormatting sqref="G179">
    <cfRule type="expression" dxfId="6" priority="5" stopIfTrue="1">
      <formula>$G$179="(must = Line F2)"</formula>
    </cfRule>
    <cfRule type="expression" dxfId="5" priority="6" stopIfTrue="1">
      <formula>$G$179&lt;&gt;"(must = Line F2)"</formula>
    </cfRule>
  </conditionalFormatting>
  <conditionalFormatting sqref="H179">
    <cfRule type="expression" dxfId="4" priority="7" stopIfTrue="1">
      <formula>$H$179="(must = Line F2)"</formula>
    </cfRule>
    <cfRule type="expression" dxfId="3" priority="8" stopIfTrue="1">
      <formula>$H$179="(must = Line F2)"</formula>
    </cfRule>
  </conditionalFormatting>
  <conditionalFormatting sqref="F180">
    <cfRule type="expression" dxfId="2" priority="9" stopIfTrue="1">
      <formula>K178&lt;&gt;0</formula>
    </cfRule>
  </conditionalFormatting>
  <conditionalFormatting sqref="G180">
    <cfRule type="expression" dxfId="1" priority="10" stopIfTrue="1">
      <formula>$L178&lt;&gt;0</formula>
    </cfRule>
  </conditionalFormatting>
  <conditionalFormatting sqref="H180">
    <cfRule type="expression" dxfId="0" priority="11" stopIfTrue="1">
      <formula>$M178&lt;&gt;0</formula>
    </cfRule>
  </conditionalFormatting>
  <dataValidations count="3">
    <dataValidation type="decimal" operator="greaterThanOrEqual" allowBlank="1" showInputMessage="1" showErrorMessage="1" errorTitle="Capital Outlay" error="Enter dollar amount only!" sqref="F193:F202" xr:uid="{00000000-0002-0000-0100-000000000000}">
      <formula1>0</formula1>
    </dataValidation>
    <dataValidation type="decimal" operator="greaterThanOrEqual" allowBlank="1" showInputMessage="1" showErrorMessage="1" errorTitle="Community Services" error="Enter dollar amount only!" sqref="F213" xr:uid="{00000000-0002-0000-0100-000001000000}">
      <formula1>0</formula1>
    </dataValidation>
    <dataValidation type="decimal" operator="greaterThanOrEqual" allowBlank="1" showInputMessage="1" showErrorMessage="1" errorTitle="Debt Service" error="Enter dollar amount only!" sqref="G193:G202" xr:uid="{00000000-0002-0000-0100-000002000000}">
      <formula1>0</formula1>
    </dataValidation>
  </dataValidations>
  <pageMargins left="0.09" right="0.06" top="0.76" bottom="0.72" header="0.5" footer="0.5"/>
  <pageSetup scale="66" orientation="portrait" r:id="rId1"/>
  <headerFooter alignWithMargins="0">
    <oddFooter>&amp;RL:/Budget/Interim/CharterAlternativeForm.xls</oddFooter>
  </headerFooter>
  <rowBreaks count="3" manualBreakCount="3">
    <brk id="65" max="16383" man="1"/>
    <brk id="123" max="16383" man="1"/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Certification</vt:lpstr>
      <vt:lpstr>Form</vt:lpstr>
      <vt:lpstr>Form!Print_Area</vt:lpstr>
      <vt:lpstr>Form!Print_Titles</vt:lpstr>
    </vt:vector>
  </TitlesOfParts>
  <Company>Riverside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RCOE</dc:creator>
  <cp:lastModifiedBy>Scott Warner</cp:lastModifiedBy>
  <cp:lastPrinted>2017-12-13T01:24:04Z</cp:lastPrinted>
  <dcterms:created xsi:type="dcterms:W3CDTF">2005-11-22T19:35:29Z</dcterms:created>
  <dcterms:modified xsi:type="dcterms:W3CDTF">2018-03-13T22:10:58Z</dcterms:modified>
</cp:coreProperties>
</file>