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trcs2015/Desktop/Board Attachments/"/>
    </mc:Choice>
  </mc:AlternateContent>
  <bookViews>
    <workbookView xWindow="4280" yWindow="2040" windowWidth="20440" windowHeight="8260" tabRatio="822"/>
  </bookViews>
  <sheets>
    <sheet name="Budget Summary" sheetId="16" r:id="rId1"/>
    <sheet name="Student Info" sheetId="14" r:id="rId2"/>
    <sheet name="Revenue Input" sheetId="15" r:id="rId3"/>
    <sheet name="LCFF" sheetId="32" state="hidden" r:id="rId4"/>
    <sheet name="Expenses Input" sheetId="8" r:id="rId5"/>
    <sheet name="Expenses Summary" sheetId="9" r:id="rId6"/>
    <sheet name="Employee Input 15-16" sheetId="1" r:id="rId7"/>
    <sheet name="Cash Flow %s Yr1" sheetId="17" r:id="rId8"/>
    <sheet name="Cash Flow $s Yr1" sheetId="18" r:id="rId9"/>
    <sheet name="Fiscal_Sets" sheetId="25" r:id="rId10"/>
    <sheet name="Employee Input 16-17" sheetId="10" r:id="rId11"/>
    <sheet name="Cash Flow %s Yr2" sheetId="26" r:id="rId12"/>
    <sheet name="Cash Flow $s Yr2" sheetId="19" r:id="rId13"/>
    <sheet name="Employee Input 17-18" sheetId="11" r:id="rId14"/>
    <sheet name="Cash Flow %s Yr3" sheetId="27" r:id="rId15"/>
    <sheet name="Cash Flow $s Yr3" sheetId="20" r:id="rId16"/>
    <sheet name="Employee Input 18-19" sheetId="12" r:id="rId17"/>
    <sheet name="Cash Flow %s Yr4" sheetId="28" r:id="rId18"/>
    <sheet name="Cash Flow $s Yr4" sheetId="21" r:id="rId19"/>
    <sheet name="Employee Input 19-20" sheetId="13" r:id="rId20"/>
    <sheet name="Cash Flow %s Yr5" sheetId="29" r:id="rId21"/>
    <sheet name="Cash Flow $s Yr5" sheetId="22" r:id="rId22"/>
    <sheet name="Cash Flow graphs" sheetId="23" r:id="rId23"/>
    <sheet name="CSMC COA" sheetId="30" r:id="rId24"/>
    <sheet name="CSMC Personnel Codes" sheetId="31" r:id="rId25"/>
    <sheet name="SACS Object Codes" sheetId="4" r:id="rId26"/>
    <sheet name="Sheet2" sheetId="2" r:id="rId27"/>
  </sheets>
  <externalReferences>
    <externalReference r:id="rId28"/>
  </externalReferences>
  <definedNames>
    <definedName name="Accounts" localSheetId="0">'Budget Summary'!$A$6:$C$39</definedName>
    <definedName name="Accounts" localSheetId="7">'Cash Flow %s Yr1'!$A$6:$C$167</definedName>
    <definedName name="Accounts" localSheetId="11">'Cash Flow %s Yr2'!$A$6:$C$167</definedName>
    <definedName name="Accounts" localSheetId="14">'Cash Flow %s Yr3'!$A$6:$C$167</definedName>
    <definedName name="Accounts" localSheetId="17">'Cash Flow %s Yr4'!$A$6:$C$167</definedName>
    <definedName name="Accounts" localSheetId="20">'Cash Flow %s Yr5'!$A$6:$C$167</definedName>
    <definedName name="Accounts" localSheetId="8">'Cash Flow $s Yr1'!$A$6:$C$170</definedName>
    <definedName name="Accounts" localSheetId="12">'Cash Flow $s Yr2'!$A$6:$C$170</definedName>
    <definedName name="Accounts" localSheetId="15">'Cash Flow $s Yr3'!$A$6:$C$170</definedName>
    <definedName name="Accounts" localSheetId="18">'Cash Flow $s Yr4'!$A$6:$C$170</definedName>
    <definedName name="Accounts" localSheetId="21">'Cash Flow $s Yr5'!$A$6:$C$170</definedName>
    <definedName name="Accounts" localSheetId="22">'Cash Flow graphs'!$A$6:$C$16</definedName>
    <definedName name="Accounts" localSheetId="4">'Expenses Input'!$A$7:$C$163</definedName>
    <definedName name="Accounts" localSheetId="5">'Expenses Summary'!$A$6:$C$127</definedName>
    <definedName name="Accounts" localSheetId="3">#REF!</definedName>
    <definedName name="Accounts" localSheetId="2">'Revenue Input'!$A$6:$C$118</definedName>
    <definedName name="Accounts" localSheetId="1">'Student Info'!$A$7:$C$153</definedName>
    <definedName name="Accounts">#REF!</definedName>
    <definedName name="Fiscal_Sets">Fiscal_Sets!$A$1:$Q$51</definedName>
    <definedName name="_xlnm.Print_Area" localSheetId="6">'Employee Input 15-16'!$A:$X</definedName>
    <definedName name="_xlnm.Print_Area" localSheetId="2">'Revenue Input'!$A:$N</definedName>
    <definedName name="_xlnm.Print_Titles" localSheetId="22">'Cash Flow graphs'!$1:$3</definedName>
    <definedName name="_xlnm.Print_Titles" localSheetId="6">'Employee Input 15-16'!$B:$C</definedName>
    <definedName name="_xlnm.Print_Titles" localSheetId="10">'Employee Input 16-17'!$B:$C</definedName>
    <definedName name="_xlnm.Print_Titles" localSheetId="13">'Employee Input 17-18'!$B:$C</definedName>
    <definedName name="_xlnm.Print_Titles" localSheetId="16">'Employee Input 18-19'!$B:$C</definedName>
    <definedName name="_xlnm.Print_Titles" localSheetId="19">'Employee Input 19-20'!$B:$C</definedName>
    <definedName name="_xlnm.Print_Titles" localSheetId="2">'Revenue Input'!$A:$B</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41" i="8" l="1"/>
  <c r="E44" i="8"/>
  <c r="B18" i="13"/>
  <c r="C18" i="13"/>
  <c r="D18" i="13"/>
  <c r="E18" i="13"/>
  <c r="F18" i="13"/>
  <c r="G18" i="13"/>
  <c r="H18" i="13"/>
  <c r="I18" i="13"/>
  <c r="J18" i="13"/>
  <c r="K18" i="13"/>
  <c r="L18" i="13"/>
  <c r="M18" i="13"/>
  <c r="N18" i="13"/>
  <c r="O18" i="13"/>
  <c r="P18" i="13"/>
  <c r="Q18" i="13"/>
  <c r="R18" i="13"/>
  <c r="S18" i="13"/>
  <c r="T18" i="13"/>
  <c r="W18" i="13"/>
  <c r="X18" i="13"/>
  <c r="B19" i="13"/>
  <c r="C19" i="13"/>
  <c r="D19" i="13"/>
  <c r="E19" i="13"/>
  <c r="F19" i="13"/>
  <c r="G19" i="13"/>
  <c r="H19" i="13"/>
  <c r="I19" i="13"/>
  <c r="J19" i="13"/>
  <c r="K19" i="13"/>
  <c r="L19" i="13"/>
  <c r="M19" i="13"/>
  <c r="N19" i="13"/>
  <c r="O19" i="13"/>
  <c r="P19" i="13"/>
  <c r="Q19" i="13"/>
  <c r="R19" i="13"/>
  <c r="S19" i="13"/>
  <c r="T19" i="13"/>
  <c r="W19" i="13"/>
  <c r="X19" i="13"/>
  <c r="B20" i="13"/>
  <c r="C20" i="13"/>
  <c r="D20" i="13"/>
  <c r="E20" i="13"/>
  <c r="F20" i="13"/>
  <c r="G20" i="13"/>
  <c r="H20" i="13"/>
  <c r="I20" i="13"/>
  <c r="J20" i="13"/>
  <c r="K20" i="13"/>
  <c r="L20" i="13"/>
  <c r="M20" i="13"/>
  <c r="N20" i="13"/>
  <c r="O20" i="13"/>
  <c r="P20" i="13"/>
  <c r="Q20" i="13"/>
  <c r="R20" i="13"/>
  <c r="S20" i="13"/>
  <c r="T20" i="13"/>
  <c r="W20" i="13"/>
  <c r="X20" i="13"/>
  <c r="B21" i="13"/>
  <c r="C21" i="13"/>
  <c r="D21" i="13"/>
  <c r="E21" i="13"/>
  <c r="F21" i="13"/>
  <c r="G21" i="13"/>
  <c r="H21" i="13"/>
  <c r="I21" i="13"/>
  <c r="J21" i="13"/>
  <c r="K21" i="13"/>
  <c r="L21" i="13"/>
  <c r="M21" i="13"/>
  <c r="N21" i="13"/>
  <c r="O21" i="13"/>
  <c r="P21" i="13"/>
  <c r="Q21" i="13"/>
  <c r="R21" i="13"/>
  <c r="S21" i="13"/>
  <c r="T21" i="13"/>
  <c r="W21" i="13"/>
  <c r="X21" i="13"/>
  <c r="B22" i="13"/>
  <c r="C22" i="13"/>
  <c r="D22" i="13"/>
  <c r="E22" i="13"/>
  <c r="F22" i="13"/>
  <c r="G22" i="13"/>
  <c r="H22" i="13"/>
  <c r="I22" i="13"/>
  <c r="J22" i="13"/>
  <c r="K22" i="13"/>
  <c r="L22" i="13"/>
  <c r="M22" i="13"/>
  <c r="N22" i="13"/>
  <c r="O22" i="13"/>
  <c r="P22" i="13"/>
  <c r="Q22" i="13"/>
  <c r="R22" i="13"/>
  <c r="S22" i="13"/>
  <c r="T22" i="13"/>
  <c r="W22" i="13"/>
  <c r="X22" i="13"/>
  <c r="B23" i="13"/>
  <c r="C23" i="13"/>
  <c r="D23" i="13"/>
  <c r="E23" i="13"/>
  <c r="F23" i="13"/>
  <c r="G23" i="13"/>
  <c r="H23" i="13"/>
  <c r="I23" i="13"/>
  <c r="J23" i="13"/>
  <c r="K23" i="13"/>
  <c r="L23" i="13"/>
  <c r="M23" i="13"/>
  <c r="N23" i="13"/>
  <c r="O23" i="13"/>
  <c r="P23" i="13"/>
  <c r="Q23" i="13"/>
  <c r="R23" i="13"/>
  <c r="S23" i="13"/>
  <c r="T23" i="13"/>
  <c r="W23" i="13"/>
  <c r="X23" i="13"/>
  <c r="B24" i="13"/>
  <c r="C24" i="13"/>
  <c r="D24" i="13"/>
  <c r="E24" i="13"/>
  <c r="F24" i="13"/>
  <c r="G24" i="13"/>
  <c r="H24" i="13"/>
  <c r="I24" i="13"/>
  <c r="J24" i="13"/>
  <c r="K24" i="13"/>
  <c r="L24" i="13"/>
  <c r="M24" i="13"/>
  <c r="N24" i="13"/>
  <c r="O24" i="13"/>
  <c r="P24" i="13"/>
  <c r="Q24" i="13"/>
  <c r="R24" i="13"/>
  <c r="S24" i="13"/>
  <c r="T24" i="13"/>
  <c r="W24" i="13"/>
  <c r="X24" i="13"/>
  <c r="B25" i="13"/>
  <c r="C25" i="13"/>
  <c r="D25" i="13"/>
  <c r="E25" i="13"/>
  <c r="F25" i="13"/>
  <c r="G25" i="13"/>
  <c r="H25" i="13"/>
  <c r="I25" i="13"/>
  <c r="J25" i="13"/>
  <c r="K25" i="13"/>
  <c r="L25" i="13"/>
  <c r="M25" i="13"/>
  <c r="N25" i="13"/>
  <c r="O25" i="13"/>
  <c r="P25" i="13"/>
  <c r="Q25" i="13"/>
  <c r="R25" i="13"/>
  <c r="S25" i="13"/>
  <c r="T25" i="13"/>
  <c r="W25" i="13"/>
  <c r="X25" i="13"/>
  <c r="B18" i="12"/>
  <c r="C18" i="12"/>
  <c r="D18" i="12"/>
  <c r="E18" i="12"/>
  <c r="F18" i="12"/>
  <c r="G18" i="12"/>
  <c r="H18" i="12"/>
  <c r="I18" i="12"/>
  <c r="J18" i="12"/>
  <c r="K18" i="12"/>
  <c r="L18" i="12"/>
  <c r="M18" i="12"/>
  <c r="N18" i="12"/>
  <c r="O18" i="12"/>
  <c r="P18" i="12"/>
  <c r="Q18" i="12"/>
  <c r="R18" i="12"/>
  <c r="S18" i="12"/>
  <c r="T18" i="12"/>
  <c r="W18" i="12"/>
  <c r="X18" i="12"/>
  <c r="B19" i="12"/>
  <c r="C19" i="12"/>
  <c r="D19" i="12"/>
  <c r="E19" i="12"/>
  <c r="F19" i="12"/>
  <c r="G19" i="12"/>
  <c r="H19" i="12"/>
  <c r="I19" i="12"/>
  <c r="J19" i="12"/>
  <c r="K19" i="12"/>
  <c r="L19" i="12"/>
  <c r="M19" i="12"/>
  <c r="N19" i="12"/>
  <c r="O19" i="12"/>
  <c r="P19" i="12"/>
  <c r="Q19" i="12"/>
  <c r="R19" i="12"/>
  <c r="S19" i="12"/>
  <c r="T19" i="12"/>
  <c r="W19" i="12"/>
  <c r="X19" i="12"/>
  <c r="B20" i="12"/>
  <c r="C20" i="12"/>
  <c r="D20" i="12"/>
  <c r="E20" i="12"/>
  <c r="F20" i="12"/>
  <c r="G20" i="12"/>
  <c r="H20" i="12"/>
  <c r="I20" i="12"/>
  <c r="J20" i="12"/>
  <c r="K20" i="12"/>
  <c r="L20" i="12"/>
  <c r="M20" i="12"/>
  <c r="N20" i="12"/>
  <c r="O20" i="12"/>
  <c r="P20" i="12"/>
  <c r="Q20" i="12"/>
  <c r="R20" i="12"/>
  <c r="S20" i="12"/>
  <c r="T20" i="12"/>
  <c r="W20" i="12"/>
  <c r="X20" i="12"/>
  <c r="B21" i="12"/>
  <c r="C21" i="12"/>
  <c r="D21" i="12"/>
  <c r="E21" i="12"/>
  <c r="F21" i="12"/>
  <c r="G21" i="12"/>
  <c r="H21" i="12"/>
  <c r="I21" i="12"/>
  <c r="J21" i="12"/>
  <c r="K21" i="12"/>
  <c r="L21" i="12"/>
  <c r="M21" i="12"/>
  <c r="N21" i="12"/>
  <c r="O21" i="12"/>
  <c r="P21" i="12"/>
  <c r="Q21" i="12"/>
  <c r="R21" i="12"/>
  <c r="S21" i="12"/>
  <c r="T21" i="12"/>
  <c r="W21" i="12"/>
  <c r="X21" i="12"/>
  <c r="B22" i="12"/>
  <c r="C22" i="12"/>
  <c r="D22" i="12"/>
  <c r="E22" i="12"/>
  <c r="F22" i="12"/>
  <c r="G22" i="12"/>
  <c r="H22" i="12"/>
  <c r="I22" i="12"/>
  <c r="J22" i="12"/>
  <c r="K22" i="12"/>
  <c r="L22" i="12"/>
  <c r="M22" i="12"/>
  <c r="N22" i="12"/>
  <c r="O22" i="12"/>
  <c r="P22" i="12"/>
  <c r="Q22" i="12"/>
  <c r="R22" i="12"/>
  <c r="S22" i="12"/>
  <c r="T22" i="12"/>
  <c r="W22" i="12"/>
  <c r="X22" i="12"/>
  <c r="B23" i="12"/>
  <c r="C23" i="12"/>
  <c r="D23" i="12"/>
  <c r="E23" i="12"/>
  <c r="F23" i="12"/>
  <c r="G23" i="12"/>
  <c r="H23" i="12"/>
  <c r="I23" i="12"/>
  <c r="J23" i="12"/>
  <c r="K23" i="12"/>
  <c r="L23" i="12"/>
  <c r="M23" i="12"/>
  <c r="N23" i="12"/>
  <c r="O23" i="12"/>
  <c r="P23" i="12"/>
  <c r="Q23" i="12"/>
  <c r="R23" i="12"/>
  <c r="S23" i="12"/>
  <c r="T23" i="12"/>
  <c r="W23" i="12"/>
  <c r="X23" i="12"/>
  <c r="B24" i="12"/>
  <c r="C24" i="12"/>
  <c r="D24" i="12"/>
  <c r="E24" i="12"/>
  <c r="F24" i="12"/>
  <c r="G24" i="12"/>
  <c r="H24" i="12"/>
  <c r="I24" i="12"/>
  <c r="J24" i="12"/>
  <c r="K24" i="12"/>
  <c r="L24" i="12"/>
  <c r="M24" i="12"/>
  <c r="N24" i="12"/>
  <c r="O24" i="12"/>
  <c r="P24" i="12"/>
  <c r="Q24" i="12"/>
  <c r="R24" i="12"/>
  <c r="S24" i="12"/>
  <c r="T24" i="12"/>
  <c r="W24" i="12"/>
  <c r="X24" i="12"/>
  <c r="B25" i="12"/>
  <c r="C25" i="12"/>
  <c r="D25" i="12"/>
  <c r="E25" i="12"/>
  <c r="F25" i="12"/>
  <c r="G25" i="12"/>
  <c r="H25" i="12"/>
  <c r="I25" i="12"/>
  <c r="J25" i="12"/>
  <c r="K25" i="12"/>
  <c r="L25" i="12"/>
  <c r="M25" i="12"/>
  <c r="N25" i="12"/>
  <c r="O25" i="12"/>
  <c r="P25" i="12"/>
  <c r="Q25" i="12"/>
  <c r="R25" i="12"/>
  <c r="S25" i="12"/>
  <c r="T25" i="12"/>
  <c r="W25" i="12"/>
  <c r="X25" i="12"/>
  <c r="B18" i="11"/>
  <c r="C18" i="11"/>
  <c r="D18" i="11"/>
  <c r="E18" i="11"/>
  <c r="F18" i="11"/>
  <c r="G18" i="11"/>
  <c r="H18" i="11"/>
  <c r="I18" i="11"/>
  <c r="J18" i="11"/>
  <c r="K18" i="11"/>
  <c r="L18" i="11"/>
  <c r="M18" i="11"/>
  <c r="N18" i="11"/>
  <c r="O18" i="11"/>
  <c r="P18" i="11"/>
  <c r="Q18" i="11"/>
  <c r="R18" i="11"/>
  <c r="S18" i="11"/>
  <c r="T18" i="11"/>
  <c r="W18" i="11"/>
  <c r="X18" i="11"/>
  <c r="B19" i="11"/>
  <c r="C19" i="11"/>
  <c r="D19" i="11"/>
  <c r="E19" i="11"/>
  <c r="F19" i="11"/>
  <c r="G19" i="11"/>
  <c r="H19" i="11"/>
  <c r="I19" i="11"/>
  <c r="J19" i="11"/>
  <c r="K19" i="11"/>
  <c r="L19" i="11"/>
  <c r="M19" i="11"/>
  <c r="N19" i="11"/>
  <c r="O19" i="11"/>
  <c r="P19" i="11"/>
  <c r="Q19" i="11"/>
  <c r="R19" i="11"/>
  <c r="S19" i="11"/>
  <c r="T19" i="11"/>
  <c r="W19" i="11"/>
  <c r="X19" i="11"/>
  <c r="B20" i="11"/>
  <c r="C20" i="11"/>
  <c r="D20" i="11"/>
  <c r="E20" i="11"/>
  <c r="F20" i="11"/>
  <c r="G20" i="11"/>
  <c r="H20" i="11"/>
  <c r="I20" i="11"/>
  <c r="J20" i="11"/>
  <c r="K20" i="11"/>
  <c r="L20" i="11"/>
  <c r="M20" i="11"/>
  <c r="N20" i="11"/>
  <c r="O20" i="11"/>
  <c r="P20" i="11"/>
  <c r="Q20" i="11"/>
  <c r="R20" i="11"/>
  <c r="S20" i="11"/>
  <c r="T20" i="11"/>
  <c r="W20" i="11"/>
  <c r="X20" i="11"/>
  <c r="B21" i="11"/>
  <c r="C21" i="11"/>
  <c r="D21" i="11"/>
  <c r="E21" i="11"/>
  <c r="F21" i="11"/>
  <c r="G21" i="11"/>
  <c r="H21" i="11"/>
  <c r="I21" i="11"/>
  <c r="J21" i="11"/>
  <c r="K21" i="11"/>
  <c r="L21" i="11"/>
  <c r="M21" i="11"/>
  <c r="N21" i="11"/>
  <c r="O21" i="11"/>
  <c r="P21" i="11"/>
  <c r="Q21" i="11"/>
  <c r="R21" i="11"/>
  <c r="S21" i="11"/>
  <c r="T21" i="11"/>
  <c r="W21" i="11"/>
  <c r="X21" i="11"/>
  <c r="B22" i="11"/>
  <c r="C22" i="11"/>
  <c r="D22" i="11"/>
  <c r="E22" i="11"/>
  <c r="F22" i="11"/>
  <c r="G22" i="11"/>
  <c r="H22" i="11"/>
  <c r="I22" i="11"/>
  <c r="J22" i="11"/>
  <c r="K22" i="11"/>
  <c r="L22" i="11"/>
  <c r="M22" i="11"/>
  <c r="N22" i="11"/>
  <c r="O22" i="11"/>
  <c r="P22" i="11"/>
  <c r="Q22" i="11"/>
  <c r="R22" i="11"/>
  <c r="S22" i="11"/>
  <c r="T22" i="11"/>
  <c r="W22" i="11"/>
  <c r="X22" i="11"/>
  <c r="B23" i="11"/>
  <c r="C23" i="11"/>
  <c r="D23" i="11"/>
  <c r="E23" i="11"/>
  <c r="F23" i="11"/>
  <c r="G23" i="11"/>
  <c r="H23" i="11"/>
  <c r="I23" i="11"/>
  <c r="J23" i="11"/>
  <c r="K23" i="11"/>
  <c r="L23" i="11"/>
  <c r="M23" i="11"/>
  <c r="N23" i="11"/>
  <c r="O23" i="11"/>
  <c r="P23" i="11"/>
  <c r="Q23" i="11"/>
  <c r="R23" i="11"/>
  <c r="S23" i="11"/>
  <c r="T23" i="11"/>
  <c r="W23" i="11"/>
  <c r="X23" i="11"/>
  <c r="B24" i="11"/>
  <c r="C24" i="11"/>
  <c r="D24" i="11"/>
  <c r="E24" i="11"/>
  <c r="F24" i="11"/>
  <c r="G24" i="11"/>
  <c r="H24" i="11"/>
  <c r="I24" i="11"/>
  <c r="J24" i="11"/>
  <c r="K24" i="11"/>
  <c r="L24" i="11"/>
  <c r="M24" i="11"/>
  <c r="N24" i="11"/>
  <c r="O24" i="11"/>
  <c r="P24" i="11"/>
  <c r="Q24" i="11"/>
  <c r="R24" i="11"/>
  <c r="S24" i="11"/>
  <c r="T24" i="11"/>
  <c r="W24" i="11"/>
  <c r="X24" i="11"/>
  <c r="B25" i="11"/>
  <c r="C25" i="11"/>
  <c r="D25" i="11"/>
  <c r="E25" i="11"/>
  <c r="F25" i="11"/>
  <c r="G25" i="11"/>
  <c r="H25" i="11"/>
  <c r="I25" i="11"/>
  <c r="J25" i="11"/>
  <c r="K25" i="11"/>
  <c r="L25" i="11"/>
  <c r="M25" i="11"/>
  <c r="N25" i="11"/>
  <c r="O25" i="11"/>
  <c r="P25" i="11"/>
  <c r="Q25" i="11"/>
  <c r="R25" i="11"/>
  <c r="S25" i="11"/>
  <c r="T25" i="11"/>
  <c r="W25" i="11"/>
  <c r="X25" i="11"/>
  <c r="B18" i="10"/>
  <c r="E18" i="10"/>
  <c r="F18" i="10"/>
  <c r="H18" i="10"/>
  <c r="I18" i="10"/>
  <c r="J18" i="10"/>
  <c r="K18" i="10"/>
  <c r="L18" i="10"/>
  <c r="M18" i="10"/>
  <c r="N18" i="10"/>
  <c r="O18" i="10"/>
  <c r="P18" i="10"/>
  <c r="Q18" i="10"/>
  <c r="R18" i="10"/>
  <c r="S18" i="10"/>
  <c r="T18" i="10"/>
  <c r="W18" i="10"/>
  <c r="X18" i="10"/>
  <c r="H19" i="10"/>
  <c r="I19" i="10"/>
  <c r="J19" i="10"/>
  <c r="K19" i="10"/>
  <c r="L19" i="10"/>
  <c r="M19" i="10"/>
  <c r="N19" i="10"/>
  <c r="O19" i="10"/>
  <c r="P19" i="10"/>
  <c r="Q19" i="10"/>
  <c r="R19" i="10"/>
  <c r="S19" i="10"/>
  <c r="T19" i="10"/>
  <c r="W19" i="10"/>
  <c r="X19" i="10"/>
  <c r="H20" i="10"/>
  <c r="I20" i="10"/>
  <c r="J20" i="10"/>
  <c r="K20" i="10"/>
  <c r="L20" i="10"/>
  <c r="M20" i="10"/>
  <c r="N20" i="10"/>
  <c r="O20" i="10"/>
  <c r="P20" i="10"/>
  <c r="Q20" i="10"/>
  <c r="R20" i="10"/>
  <c r="S20" i="10"/>
  <c r="T20" i="10"/>
  <c r="W20" i="10"/>
  <c r="X20" i="10"/>
  <c r="H21" i="10"/>
  <c r="I21" i="10"/>
  <c r="J21" i="10"/>
  <c r="K21" i="10"/>
  <c r="L21" i="10"/>
  <c r="M21" i="10"/>
  <c r="N21" i="10"/>
  <c r="O21" i="10"/>
  <c r="P21" i="10"/>
  <c r="Q21" i="10"/>
  <c r="R21" i="10"/>
  <c r="S21" i="10"/>
  <c r="T21" i="10"/>
  <c r="W21" i="10"/>
  <c r="X21" i="10"/>
  <c r="H22" i="10"/>
  <c r="I22" i="10"/>
  <c r="J22" i="10"/>
  <c r="K22" i="10"/>
  <c r="L22" i="10"/>
  <c r="M22" i="10"/>
  <c r="N22" i="10"/>
  <c r="O22" i="10"/>
  <c r="P22" i="10"/>
  <c r="Q22" i="10"/>
  <c r="R22" i="10"/>
  <c r="S22" i="10"/>
  <c r="T22" i="10"/>
  <c r="W22" i="10"/>
  <c r="X22" i="10"/>
  <c r="H23" i="10"/>
  <c r="I23" i="10"/>
  <c r="J23" i="10"/>
  <c r="K23" i="10"/>
  <c r="L23" i="10"/>
  <c r="M23" i="10"/>
  <c r="N23" i="10"/>
  <c r="O23" i="10"/>
  <c r="P23" i="10"/>
  <c r="Q23" i="10"/>
  <c r="R23" i="10"/>
  <c r="S23" i="10"/>
  <c r="T23" i="10"/>
  <c r="W23" i="10"/>
  <c r="X23" i="10"/>
  <c r="H24" i="10"/>
  <c r="I24" i="10"/>
  <c r="J24" i="10"/>
  <c r="K24" i="10"/>
  <c r="L24" i="10"/>
  <c r="M24" i="10"/>
  <c r="N24" i="10"/>
  <c r="O24" i="10"/>
  <c r="P24" i="10"/>
  <c r="Q24" i="10"/>
  <c r="R24" i="10"/>
  <c r="S24" i="10"/>
  <c r="T24" i="10"/>
  <c r="W24" i="10"/>
  <c r="X24" i="10"/>
  <c r="D12" i="10"/>
  <c r="H12" i="10"/>
  <c r="I12" i="10"/>
  <c r="J12" i="10"/>
  <c r="K12" i="10"/>
  <c r="M12" i="10"/>
  <c r="N12" i="10"/>
  <c r="O12" i="10"/>
  <c r="P12" i="10"/>
  <c r="Q12" i="10"/>
  <c r="R12" i="10"/>
  <c r="S12" i="10"/>
  <c r="T12" i="10"/>
  <c r="W12" i="10"/>
  <c r="X12" i="10"/>
  <c r="E71" i="8"/>
  <c r="F71" i="8"/>
  <c r="G71" i="8"/>
  <c r="H71" i="8"/>
  <c r="D71" i="8"/>
  <c r="D18" i="15"/>
  <c r="D10" i="15"/>
  <c r="D68" i="14"/>
  <c r="R8" i="1"/>
  <c r="R9" i="1"/>
  <c r="R10" i="1"/>
  <c r="R11" i="1"/>
  <c r="R12" i="1"/>
  <c r="R7" i="1"/>
  <c r="D23" i="14"/>
  <c r="E21" i="18"/>
  <c r="F21" i="18"/>
  <c r="G21" i="18"/>
  <c r="H21" i="18"/>
  <c r="J47" i="25"/>
  <c r="I21" i="18"/>
  <c r="J21" i="18"/>
  <c r="K21" i="18"/>
  <c r="L21" i="18"/>
  <c r="N47" i="25"/>
  <c r="M21" i="18"/>
  <c r="N21" i="18"/>
  <c r="O21" i="18"/>
  <c r="P21" i="18"/>
  <c r="Q21" i="18"/>
  <c r="R21" i="18"/>
  <c r="G47" i="25"/>
  <c r="H47" i="25"/>
  <c r="I47" i="25"/>
  <c r="K47" i="25"/>
  <c r="L47" i="25"/>
  <c r="M47" i="25"/>
  <c r="O47" i="25"/>
  <c r="P47" i="25"/>
  <c r="Q47" i="25"/>
  <c r="E26" i="18"/>
  <c r="F26" i="18"/>
  <c r="G26" i="18"/>
  <c r="H26" i="18"/>
  <c r="I26" i="18"/>
  <c r="J26" i="18"/>
  <c r="K26" i="18"/>
  <c r="L26" i="18"/>
  <c r="M26" i="18"/>
  <c r="N26" i="18"/>
  <c r="O26" i="18"/>
  <c r="P26" i="18"/>
  <c r="Q26" i="18"/>
  <c r="R26" i="18"/>
  <c r="E27" i="18"/>
  <c r="F27" i="18"/>
  <c r="G27" i="18"/>
  <c r="H27" i="18"/>
  <c r="I27" i="18"/>
  <c r="J27" i="18"/>
  <c r="K27" i="18"/>
  <c r="L27" i="18"/>
  <c r="M27" i="18"/>
  <c r="N27" i="18"/>
  <c r="O27" i="18"/>
  <c r="P27" i="18"/>
  <c r="Q27" i="18"/>
  <c r="R27" i="18"/>
  <c r="E28" i="18"/>
  <c r="F28" i="18"/>
  <c r="G28" i="18"/>
  <c r="H28" i="18"/>
  <c r="I28" i="18"/>
  <c r="J28" i="18"/>
  <c r="K28" i="18"/>
  <c r="L28" i="18"/>
  <c r="M28" i="18"/>
  <c r="N28" i="18"/>
  <c r="O28" i="18"/>
  <c r="P28" i="18"/>
  <c r="Q28" i="18"/>
  <c r="R28" i="18"/>
  <c r="E29" i="18"/>
  <c r="F29" i="18"/>
  <c r="G29" i="18"/>
  <c r="H29" i="18"/>
  <c r="I29" i="18"/>
  <c r="J29" i="18"/>
  <c r="K29" i="18"/>
  <c r="L29" i="18"/>
  <c r="M29" i="18"/>
  <c r="N29" i="18"/>
  <c r="O29" i="18"/>
  <c r="P29" i="18"/>
  <c r="Q29" i="18"/>
  <c r="R29" i="18"/>
  <c r="E30" i="18"/>
  <c r="F30" i="18"/>
  <c r="G30" i="18"/>
  <c r="H30" i="18"/>
  <c r="I30" i="18"/>
  <c r="J30" i="18"/>
  <c r="K30" i="18"/>
  <c r="L30" i="18"/>
  <c r="M30" i="18"/>
  <c r="N30" i="18"/>
  <c r="O30" i="18"/>
  <c r="P30" i="18"/>
  <c r="Q30" i="18"/>
  <c r="R30" i="18"/>
  <c r="E31" i="18"/>
  <c r="F31" i="18"/>
  <c r="G31" i="18"/>
  <c r="H31" i="18"/>
  <c r="I31" i="18"/>
  <c r="J31" i="18"/>
  <c r="K31" i="18"/>
  <c r="L31" i="18"/>
  <c r="M31" i="18"/>
  <c r="N31" i="18"/>
  <c r="O31" i="18"/>
  <c r="P31" i="18"/>
  <c r="Q31" i="18"/>
  <c r="R31" i="18"/>
  <c r="E32" i="18"/>
  <c r="F32" i="18"/>
  <c r="G32" i="18"/>
  <c r="H32" i="18"/>
  <c r="I32" i="18"/>
  <c r="J32" i="18"/>
  <c r="K32" i="18"/>
  <c r="L32" i="18"/>
  <c r="M32" i="18"/>
  <c r="N32" i="18"/>
  <c r="O32" i="18"/>
  <c r="P32" i="18"/>
  <c r="Q32" i="18"/>
  <c r="R32" i="18"/>
  <c r="R12" i="18"/>
  <c r="E13" i="18"/>
  <c r="H13" i="18"/>
  <c r="K13" i="18"/>
  <c r="N13" i="18"/>
  <c r="Q13" i="18"/>
  <c r="R13" i="18"/>
  <c r="G41" i="25"/>
  <c r="H41" i="25"/>
  <c r="I41" i="25"/>
  <c r="J41" i="25"/>
  <c r="K41" i="25"/>
  <c r="L41" i="25"/>
  <c r="M41" i="25"/>
  <c r="N41" i="25"/>
  <c r="O41" i="25"/>
  <c r="P41" i="25"/>
  <c r="Q41" i="25"/>
  <c r="F41" i="25"/>
  <c r="E10" i="8"/>
  <c r="E11" i="8"/>
  <c r="E12" i="8"/>
  <c r="E14" i="8"/>
  <c r="E9" i="8"/>
  <c r="E72" i="9"/>
  <c r="F72" i="9"/>
  <c r="G72" i="9"/>
  <c r="H72" i="9"/>
  <c r="E87" i="9"/>
  <c r="F87" i="9"/>
  <c r="G87" i="9"/>
  <c r="H87" i="9"/>
  <c r="E88" i="9"/>
  <c r="F88" i="9"/>
  <c r="G88" i="9"/>
  <c r="H88" i="9"/>
  <c r="D68" i="9"/>
  <c r="D69" i="9"/>
  <c r="D70" i="9"/>
  <c r="D71" i="9"/>
  <c r="D72" i="9"/>
  <c r="D73" i="9"/>
  <c r="D74" i="9"/>
  <c r="D75" i="9"/>
  <c r="D76" i="9"/>
  <c r="D77" i="9"/>
  <c r="D78" i="9"/>
  <c r="D79" i="9"/>
  <c r="D80" i="9"/>
  <c r="D81" i="9"/>
  <c r="D82" i="9"/>
  <c r="D83" i="9"/>
  <c r="D84" i="9"/>
  <c r="D86" i="9"/>
  <c r="D87" i="9"/>
  <c r="D88" i="9"/>
  <c r="D89" i="9"/>
  <c r="D98" i="9"/>
  <c r="D67" i="9"/>
  <c r="H18" i="1"/>
  <c r="K18" i="1"/>
  <c r="M18" i="1"/>
  <c r="N18" i="1"/>
  <c r="Q18" i="1"/>
  <c r="O18" i="1"/>
  <c r="T18" i="1"/>
  <c r="P18" i="1"/>
  <c r="S18" i="1"/>
  <c r="W18" i="1"/>
  <c r="X18" i="1"/>
  <c r="E48" i="8"/>
  <c r="F48" i="8"/>
  <c r="E86" i="9"/>
  <c r="D15" i="15"/>
  <c r="E34" i="8"/>
  <c r="F34" i="8"/>
  <c r="G34" i="8"/>
  <c r="H34" i="8"/>
  <c r="G48" i="8"/>
  <c r="F86" i="9"/>
  <c r="U99" i="11"/>
  <c r="F40" i="9"/>
  <c r="U99" i="12"/>
  <c r="G40" i="9"/>
  <c r="U99" i="13"/>
  <c r="H40" i="9"/>
  <c r="V99" i="11"/>
  <c r="F41" i="9"/>
  <c r="V99" i="12"/>
  <c r="G41" i="9"/>
  <c r="V99" i="13"/>
  <c r="H41" i="9"/>
  <c r="R8" i="11"/>
  <c r="R8" i="12"/>
  <c r="R8" i="13"/>
  <c r="R9" i="11"/>
  <c r="R9" i="12"/>
  <c r="R9" i="13"/>
  <c r="R10" i="11"/>
  <c r="R10" i="12"/>
  <c r="R10" i="13"/>
  <c r="R11" i="11"/>
  <c r="R11" i="12"/>
  <c r="R11" i="13"/>
  <c r="R14" i="10"/>
  <c r="R13" i="11"/>
  <c r="R13" i="12"/>
  <c r="R13" i="13"/>
  <c r="R15" i="10"/>
  <c r="R14" i="11"/>
  <c r="R14" i="12"/>
  <c r="R14" i="13"/>
  <c r="R15" i="11"/>
  <c r="R15" i="12"/>
  <c r="R15" i="13"/>
  <c r="R16" i="10"/>
  <c r="R17" i="10"/>
  <c r="R12" i="11"/>
  <c r="R12" i="12"/>
  <c r="R12" i="13"/>
  <c r="R16" i="11"/>
  <c r="R16" i="12"/>
  <c r="R16" i="13"/>
  <c r="R17" i="11"/>
  <c r="R17" i="12"/>
  <c r="R17" i="13"/>
  <c r="H48" i="8"/>
  <c r="H86" i="9"/>
  <c r="G86" i="9"/>
  <c r="Q2" i="13"/>
  <c r="Q2" i="12"/>
  <c r="Q11" i="12"/>
  <c r="Q15" i="11"/>
  <c r="Q2" i="11"/>
  <c r="Q8" i="11"/>
  <c r="Q7" i="10"/>
  <c r="O2" i="10"/>
  <c r="P2" i="10"/>
  <c r="Q2" i="10"/>
  <c r="Q10" i="10"/>
  <c r="S2" i="10"/>
  <c r="T2" i="10"/>
  <c r="N2" i="10"/>
  <c r="Q13" i="1"/>
  <c r="Q14" i="1"/>
  <c r="Q15" i="1"/>
  <c r="Q16" i="1"/>
  <c r="Q17" i="1"/>
  <c r="D12" i="9"/>
  <c r="D28" i="9"/>
  <c r="D29" i="9"/>
  <c r="D26" i="9"/>
  <c r="D21" i="9"/>
  <c r="D24" i="9"/>
  <c r="D23" i="9"/>
  <c r="D16" i="9"/>
  <c r="D15" i="9"/>
  <c r="D11" i="9"/>
  <c r="D9" i="9"/>
  <c r="Q7" i="11"/>
  <c r="Q25" i="10"/>
  <c r="Q14" i="10"/>
  <c r="Q11" i="10"/>
  <c r="Q9" i="10"/>
  <c r="Q12" i="12"/>
  <c r="Q7" i="13"/>
  <c r="Q17" i="10"/>
  <c r="Q8" i="10"/>
  <c r="Q11" i="11"/>
  <c r="Q7" i="12"/>
  <c r="Q15" i="12"/>
  <c r="Q11" i="13"/>
  <c r="Q16" i="10"/>
  <c r="Q15" i="10"/>
  <c r="Q13" i="10"/>
  <c r="Q12" i="11"/>
  <c r="Q8" i="12"/>
  <c r="Q16" i="12"/>
  <c r="Q15" i="13"/>
  <c r="Q8" i="13"/>
  <c r="Q12" i="13"/>
  <c r="Q16" i="13"/>
  <c r="Q9" i="13"/>
  <c r="Q13" i="13"/>
  <c r="Q17" i="13"/>
  <c r="Q10" i="13"/>
  <c r="Q14" i="13"/>
  <c r="Q9" i="12"/>
  <c r="Q13" i="12"/>
  <c r="Q17" i="12"/>
  <c r="Q10" i="12"/>
  <c r="Q14" i="12"/>
  <c r="Q16" i="11"/>
  <c r="Q9" i="11"/>
  <c r="Q13" i="11"/>
  <c r="Q17" i="11"/>
  <c r="Q10" i="11"/>
  <c r="Q14" i="11"/>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B85" i="9"/>
  <c r="C85" i="9"/>
  <c r="B86" i="9"/>
  <c r="C86" i="9"/>
  <c r="B87" i="9"/>
  <c r="C87" i="9"/>
  <c r="B88" i="9"/>
  <c r="C88" i="9"/>
  <c r="B89" i="9"/>
  <c r="C89" i="9"/>
  <c r="E46" i="8"/>
  <c r="F46" i="8"/>
  <c r="E84" i="9"/>
  <c r="H11" i="1"/>
  <c r="H10" i="1"/>
  <c r="K10" i="1"/>
  <c r="H9" i="1"/>
  <c r="K9" i="1"/>
  <c r="H8" i="1"/>
  <c r="K8" i="1"/>
  <c r="H15" i="1"/>
  <c r="K15" i="1"/>
  <c r="H7" i="1"/>
  <c r="K7" i="1"/>
  <c r="H16" i="1"/>
  <c r="H14" i="1"/>
  <c r="H13" i="1"/>
  <c r="H17" i="1"/>
  <c r="K17" i="1"/>
  <c r="H12" i="1"/>
  <c r="K12" i="1"/>
  <c r="L8" i="10"/>
  <c r="L9" i="10"/>
  <c r="L10" i="10"/>
  <c r="L11" i="10"/>
  <c r="L13" i="10"/>
  <c r="L14" i="10"/>
  <c r="L15" i="10"/>
  <c r="L25" i="10"/>
  <c r="L16" i="10"/>
  <c r="L17" i="10"/>
  <c r="G46" i="8"/>
  <c r="F84" i="9"/>
  <c r="K13" i="1"/>
  <c r="K14" i="1"/>
  <c r="D27" i="9"/>
  <c r="K16" i="1"/>
  <c r="K11" i="1"/>
  <c r="H46" i="8"/>
  <c r="H84" i="9"/>
  <c r="G84" i="9"/>
  <c r="K99" i="1"/>
  <c r="A3" i="1"/>
  <c r="D8" i="10"/>
  <c r="D8" i="11"/>
  <c r="D8" i="12"/>
  <c r="D8" i="13"/>
  <c r="E8" i="10"/>
  <c r="E8" i="11"/>
  <c r="E8" i="12"/>
  <c r="E8" i="13"/>
  <c r="F8" i="10"/>
  <c r="F8" i="11"/>
  <c r="F8" i="12"/>
  <c r="F8" i="13"/>
  <c r="D9" i="10"/>
  <c r="D9" i="11"/>
  <c r="D9" i="12"/>
  <c r="D9" i="13"/>
  <c r="E9" i="10"/>
  <c r="E9" i="11"/>
  <c r="E9" i="12"/>
  <c r="E9" i="13"/>
  <c r="F9" i="10"/>
  <c r="F9" i="11"/>
  <c r="F9" i="12"/>
  <c r="F9" i="13"/>
  <c r="D10" i="10"/>
  <c r="D10" i="11"/>
  <c r="D10" i="12"/>
  <c r="D10" i="13"/>
  <c r="E10" i="10"/>
  <c r="E10" i="11"/>
  <c r="E10" i="12"/>
  <c r="E10" i="13"/>
  <c r="F10" i="10"/>
  <c r="F10" i="11"/>
  <c r="F10" i="12"/>
  <c r="F10" i="13"/>
  <c r="D11" i="10"/>
  <c r="D11" i="11"/>
  <c r="D11" i="12"/>
  <c r="D11" i="13"/>
  <c r="E11" i="10"/>
  <c r="E11" i="11"/>
  <c r="E11" i="12"/>
  <c r="E11" i="13"/>
  <c r="F11" i="10"/>
  <c r="F11" i="11"/>
  <c r="F11" i="12"/>
  <c r="F11" i="13"/>
  <c r="D13" i="10"/>
  <c r="D12" i="11"/>
  <c r="D12" i="12"/>
  <c r="D12" i="13"/>
  <c r="E13" i="10"/>
  <c r="E12" i="11"/>
  <c r="E12" i="12"/>
  <c r="E12" i="13"/>
  <c r="F13" i="10"/>
  <c r="F12" i="11"/>
  <c r="F12" i="12"/>
  <c r="F12" i="13"/>
  <c r="D14" i="10"/>
  <c r="D13" i="11"/>
  <c r="D13" i="12"/>
  <c r="D13" i="13"/>
  <c r="E14" i="10"/>
  <c r="E13" i="11"/>
  <c r="E13" i="12"/>
  <c r="E13" i="13"/>
  <c r="F14" i="10"/>
  <c r="F13" i="11"/>
  <c r="F13" i="12"/>
  <c r="F13" i="13"/>
  <c r="D15" i="10"/>
  <c r="D14" i="11"/>
  <c r="D14" i="12"/>
  <c r="D14" i="13"/>
  <c r="E15" i="10"/>
  <c r="E14" i="11"/>
  <c r="E14" i="12"/>
  <c r="E14" i="13"/>
  <c r="F15" i="10"/>
  <c r="F14" i="11"/>
  <c r="F14" i="12"/>
  <c r="F14" i="13"/>
  <c r="D25" i="10"/>
  <c r="D15" i="11"/>
  <c r="D15" i="12"/>
  <c r="D15" i="13"/>
  <c r="E25" i="10"/>
  <c r="E15" i="11"/>
  <c r="E15" i="12"/>
  <c r="E15" i="13"/>
  <c r="F25" i="10"/>
  <c r="F15" i="11"/>
  <c r="F15" i="12"/>
  <c r="F15" i="13"/>
  <c r="D16" i="10"/>
  <c r="D16" i="11"/>
  <c r="D16" i="12"/>
  <c r="D16" i="13"/>
  <c r="E16" i="10"/>
  <c r="E16" i="11"/>
  <c r="E16" i="12"/>
  <c r="E16" i="13"/>
  <c r="F16" i="10"/>
  <c r="F16" i="11"/>
  <c r="F16" i="12"/>
  <c r="F16" i="13"/>
  <c r="D17" i="10"/>
  <c r="D17" i="11"/>
  <c r="D17" i="12"/>
  <c r="D17" i="13"/>
  <c r="E17" i="10"/>
  <c r="E17" i="11"/>
  <c r="E17" i="12"/>
  <c r="E17" i="13"/>
  <c r="F17" i="10"/>
  <c r="F17" i="11"/>
  <c r="F17" i="12"/>
  <c r="F17" i="13"/>
  <c r="G8" i="11"/>
  <c r="G8" i="12"/>
  <c r="G8" i="13"/>
  <c r="G9" i="11"/>
  <c r="G9" i="12"/>
  <c r="G9" i="13"/>
  <c r="G10" i="11"/>
  <c r="G10" i="12"/>
  <c r="G10" i="13"/>
  <c r="G11" i="11"/>
  <c r="G11" i="12"/>
  <c r="G11" i="13"/>
  <c r="G12" i="11"/>
  <c r="G12" i="12"/>
  <c r="G12" i="13"/>
  <c r="G13" i="11"/>
  <c r="G13" i="12"/>
  <c r="G13" i="13"/>
  <c r="G14" i="11"/>
  <c r="G14" i="12"/>
  <c r="G14" i="13"/>
  <c r="G15" i="11"/>
  <c r="G15" i="12"/>
  <c r="G15" i="13"/>
  <c r="G16" i="11"/>
  <c r="G16" i="12"/>
  <c r="G16" i="13"/>
  <c r="G17" i="11"/>
  <c r="G17" i="12"/>
  <c r="G17" i="13"/>
  <c r="C8" i="10"/>
  <c r="C8" i="11"/>
  <c r="C8" i="12"/>
  <c r="C8" i="13"/>
  <c r="C9" i="10"/>
  <c r="C9" i="11"/>
  <c r="C9" i="12"/>
  <c r="C9" i="13"/>
  <c r="C10" i="10"/>
  <c r="C10" i="11"/>
  <c r="C10" i="12"/>
  <c r="C10" i="13"/>
  <c r="C11" i="10"/>
  <c r="C11" i="11"/>
  <c r="C11" i="12"/>
  <c r="C11" i="13"/>
  <c r="C13" i="10"/>
  <c r="C12" i="11"/>
  <c r="C12" i="12"/>
  <c r="C12" i="13"/>
  <c r="C13" i="11"/>
  <c r="C13" i="12"/>
  <c r="C13" i="13"/>
  <c r="C14" i="11"/>
  <c r="C14" i="12"/>
  <c r="C14" i="13"/>
  <c r="C25" i="10"/>
  <c r="C15" i="11"/>
  <c r="C15" i="12"/>
  <c r="C15" i="13"/>
  <c r="C16" i="11"/>
  <c r="C16" i="12"/>
  <c r="C16" i="13"/>
  <c r="C17" i="10"/>
  <c r="C17" i="11"/>
  <c r="C17" i="12"/>
  <c r="C17" i="13"/>
  <c r="B8" i="10"/>
  <c r="B8" i="11"/>
  <c r="B8" i="12"/>
  <c r="B8" i="13"/>
  <c r="B9" i="10"/>
  <c r="B9" i="11"/>
  <c r="B9" i="12"/>
  <c r="B9" i="13"/>
  <c r="B10" i="10"/>
  <c r="B10" i="11"/>
  <c r="B10" i="12"/>
  <c r="B10" i="13"/>
  <c r="B11" i="10"/>
  <c r="B11" i="11"/>
  <c r="B11" i="12"/>
  <c r="B11" i="13"/>
  <c r="B13" i="10"/>
  <c r="B12" i="11"/>
  <c r="B12" i="12"/>
  <c r="B12" i="13"/>
  <c r="B14" i="10"/>
  <c r="B15" i="10"/>
  <c r="B14" i="11"/>
  <c r="B14" i="12"/>
  <c r="B14" i="13"/>
  <c r="B25" i="10"/>
  <c r="B15" i="11"/>
  <c r="B15" i="12"/>
  <c r="B15" i="13"/>
  <c r="B16" i="10"/>
  <c r="B16" i="11"/>
  <c r="B16" i="12"/>
  <c r="B16" i="13"/>
  <c r="B17" i="10"/>
  <c r="B17" i="11"/>
  <c r="B17" i="12"/>
  <c r="B17" i="13"/>
  <c r="B13" i="11"/>
  <c r="B13" i="12"/>
  <c r="B13" i="13"/>
  <c r="K12" i="15"/>
  <c r="L12" i="15"/>
  <c r="M12" i="15"/>
  <c r="N12" i="15"/>
  <c r="N2" i="11"/>
  <c r="O2" i="11"/>
  <c r="P2" i="11"/>
  <c r="N2" i="12"/>
  <c r="N2" i="13"/>
  <c r="O2" i="12"/>
  <c r="P2" i="12"/>
  <c r="M2" i="13"/>
  <c r="P2" i="13"/>
  <c r="O2" i="13"/>
  <c r="B96" i="11"/>
  <c r="C96" i="11"/>
  <c r="D96" i="11"/>
  <c r="E96" i="11"/>
  <c r="F96" i="11"/>
  <c r="N8" i="10"/>
  <c r="L9" i="11"/>
  <c r="L11" i="11"/>
  <c r="N15" i="10"/>
  <c r="L15" i="11"/>
  <c r="N16" i="10"/>
  <c r="L17" i="11"/>
  <c r="I8" i="10"/>
  <c r="I8" i="11"/>
  <c r="I8" i="12"/>
  <c r="I8" i="13"/>
  <c r="J8" i="10"/>
  <c r="J8" i="11"/>
  <c r="J8" i="12"/>
  <c r="J8" i="13"/>
  <c r="I9" i="10"/>
  <c r="I9" i="11"/>
  <c r="I9" i="12"/>
  <c r="I9" i="13"/>
  <c r="J9" i="10"/>
  <c r="J9" i="11"/>
  <c r="J9" i="12"/>
  <c r="J9" i="13"/>
  <c r="I10" i="10"/>
  <c r="I10" i="11"/>
  <c r="I10" i="12"/>
  <c r="I10" i="13"/>
  <c r="J10" i="10"/>
  <c r="J10" i="11"/>
  <c r="J10" i="12"/>
  <c r="J10" i="13"/>
  <c r="I11" i="10"/>
  <c r="I11" i="11"/>
  <c r="J11" i="10"/>
  <c r="J11" i="11"/>
  <c r="J11" i="12"/>
  <c r="J11" i="13"/>
  <c r="I13" i="10"/>
  <c r="I12" i="11"/>
  <c r="I12" i="12"/>
  <c r="I12" i="13"/>
  <c r="J13" i="10"/>
  <c r="J12" i="11"/>
  <c r="J12" i="12"/>
  <c r="J12" i="13"/>
  <c r="I14" i="10"/>
  <c r="I13" i="11"/>
  <c r="I13" i="12"/>
  <c r="I13" i="13"/>
  <c r="J14" i="10"/>
  <c r="J13" i="11"/>
  <c r="J13" i="12"/>
  <c r="J13" i="13"/>
  <c r="I15" i="10"/>
  <c r="J15" i="10"/>
  <c r="J14" i="11"/>
  <c r="J14" i="12"/>
  <c r="J14" i="13"/>
  <c r="I25" i="10"/>
  <c r="I15" i="11"/>
  <c r="J25" i="10"/>
  <c r="J15" i="11"/>
  <c r="J15" i="12"/>
  <c r="J15" i="13"/>
  <c r="I16" i="10"/>
  <c r="J16" i="10"/>
  <c r="J16" i="11"/>
  <c r="J16" i="12"/>
  <c r="J16" i="13"/>
  <c r="I17" i="10"/>
  <c r="I17" i="11"/>
  <c r="I17" i="12"/>
  <c r="I17" i="13"/>
  <c r="J17" i="10"/>
  <c r="J17" i="11"/>
  <c r="J17" i="12"/>
  <c r="J17" i="13"/>
  <c r="G7" i="11"/>
  <c r="G7" i="12"/>
  <c r="C7" i="10"/>
  <c r="C7" i="11"/>
  <c r="C7" i="12"/>
  <c r="C7" i="13"/>
  <c r="D7" i="10"/>
  <c r="D7" i="11"/>
  <c r="D7" i="12"/>
  <c r="D7" i="13"/>
  <c r="E7" i="10"/>
  <c r="E7" i="11"/>
  <c r="E7" i="12"/>
  <c r="E7" i="13"/>
  <c r="F7" i="10"/>
  <c r="F7" i="11"/>
  <c r="F7" i="12"/>
  <c r="F7" i="13"/>
  <c r="O11" i="1"/>
  <c r="N11" i="1"/>
  <c r="N8" i="1"/>
  <c r="N9" i="1"/>
  <c r="O9" i="1"/>
  <c r="O10" i="1"/>
  <c r="N10" i="1"/>
  <c r="I16" i="11"/>
  <c r="I14" i="11"/>
  <c r="H15" i="10"/>
  <c r="K15" i="10"/>
  <c r="S15" i="10"/>
  <c r="H17" i="10"/>
  <c r="K17" i="10"/>
  <c r="H14" i="10"/>
  <c r="K14" i="10"/>
  <c r="H9" i="10"/>
  <c r="K9" i="10"/>
  <c r="T9" i="10"/>
  <c r="H10" i="10"/>
  <c r="K10" i="10"/>
  <c r="H16" i="10"/>
  <c r="K16" i="10"/>
  <c r="S16" i="10"/>
  <c r="H13" i="10"/>
  <c r="K13" i="10"/>
  <c r="P13" i="10"/>
  <c r="H8" i="10"/>
  <c r="K8" i="10"/>
  <c r="P8" i="10"/>
  <c r="H14" i="12"/>
  <c r="H10" i="13"/>
  <c r="K10" i="13"/>
  <c r="L8" i="11"/>
  <c r="N8" i="11"/>
  <c r="I15" i="12"/>
  <c r="I15" i="13"/>
  <c r="I11" i="12"/>
  <c r="I11" i="13"/>
  <c r="L17" i="12"/>
  <c r="N15" i="11"/>
  <c r="L15" i="12"/>
  <c r="N11" i="11"/>
  <c r="L11" i="12"/>
  <c r="L9" i="12"/>
  <c r="H11" i="13"/>
  <c r="H11" i="12"/>
  <c r="T8" i="1"/>
  <c r="S8" i="1"/>
  <c r="T10" i="1"/>
  <c r="S10" i="1"/>
  <c r="S9" i="1"/>
  <c r="T9" i="1"/>
  <c r="T11" i="1"/>
  <c r="S11" i="1"/>
  <c r="H15" i="11"/>
  <c r="K15" i="11"/>
  <c r="M15" i="11"/>
  <c r="H11" i="11"/>
  <c r="K11" i="11"/>
  <c r="O11" i="11"/>
  <c r="H15" i="13"/>
  <c r="H15" i="12"/>
  <c r="H7" i="10"/>
  <c r="H25" i="10"/>
  <c r="K25" i="10"/>
  <c r="O25" i="10"/>
  <c r="H11" i="10"/>
  <c r="K11" i="10"/>
  <c r="M11" i="10"/>
  <c r="H7" i="11"/>
  <c r="L16" i="11"/>
  <c r="L14" i="11"/>
  <c r="L13" i="11"/>
  <c r="L12" i="11"/>
  <c r="L10" i="11"/>
  <c r="N11" i="10"/>
  <c r="N25" i="10"/>
  <c r="M9" i="10"/>
  <c r="M8" i="1"/>
  <c r="O8" i="1"/>
  <c r="M11" i="1"/>
  <c r="P11" i="1"/>
  <c r="P10" i="1"/>
  <c r="M10" i="1"/>
  <c r="P8" i="1"/>
  <c r="P9" i="1"/>
  <c r="M9" i="1"/>
  <c r="R3" i="25"/>
  <c r="I16" i="12"/>
  <c r="I14" i="12"/>
  <c r="K14" i="12"/>
  <c r="P14" i="12"/>
  <c r="T14" i="10"/>
  <c r="M14" i="10"/>
  <c r="P10" i="10"/>
  <c r="M10" i="10"/>
  <c r="N9" i="10"/>
  <c r="N10" i="10"/>
  <c r="N17" i="10"/>
  <c r="N14" i="10"/>
  <c r="M8" i="10"/>
  <c r="N13" i="10"/>
  <c r="O13" i="10"/>
  <c r="O10" i="10"/>
  <c r="T10" i="10"/>
  <c r="M17" i="10"/>
  <c r="M25" i="10"/>
  <c r="P9" i="10"/>
  <c r="O11" i="10"/>
  <c r="O9" i="10"/>
  <c r="O15" i="10"/>
  <c r="O16" i="10"/>
  <c r="L8" i="12"/>
  <c r="L8" i="13"/>
  <c r="O8" i="10"/>
  <c r="K11" i="13"/>
  <c r="P11" i="13"/>
  <c r="K15" i="12"/>
  <c r="O15" i="12"/>
  <c r="S8" i="10"/>
  <c r="P14" i="10"/>
  <c r="T15" i="10"/>
  <c r="H14" i="11"/>
  <c r="K14" i="11"/>
  <c r="M14" i="11"/>
  <c r="H14" i="13"/>
  <c r="O14" i="10"/>
  <c r="T17" i="10"/>
  <c r="K15" i="13"/>
  <c r="H10" i="12"/>
  <c r="K10" i="12"/>
  <c r="T16" i="10"/>
  <c r="M16" i="10"/>
  <c r="H10" i="11"/>
  <c r="K10" i="11"/>
  <c r="O10" i="11"/>
  <c r="P15" i="10"/>
  <c r="P16" i="10"/>
  <c r="S14" i="10"/>
  <c r="M15" i="10"/>
  <c r="S17" i="10"/>
  <c r="O17" i="10"/>
  <c r="P17" i="10"/>
  <c r="S10" i="10"/>
  <c r="S13" i="10"/>
  <c r="M13" i="10"/>
  <c r="T13" i="10"/>
  <c r="S9" i="10"/>
  <c r="T8" i="10"/>
  <c r="H16" i="11"/>
  <c r="K16" i="11"/>
  <c r="M16" i="11"/>
  <c r="P15" i="11"/>
  <c r="O15" i="11"/>
  <c r="P10" i="13"/>
  <c r="L12" i="12"/>
  <c r="L15" i="13"/>
  <c r="N15" i="12"/>
  <c r="L17" i="13"/>
  <c r="P11" i="11"/>
  <c r="L13" i="12"/>
  <c r="H9" i="11"/>
  <c r="K9" i="11"/>
  <c r="M11" i="11"/>
  <c r="H16" i="13"/>
  <c r="H16" i="12"/>
  <c r="K16" i="12"/>
  <c r="H12" i="11"/>
  <c r="K12" i="11"/>
  <c r="M12" i="11"/>
  <c r="L10" i="12"/>
  <c r="N16" i="11"/>
  <c r="L16" i="12"/>
  <c r="T25" i="10"/>
  <c r="S25" i="10"/>
  <c r="P25" i="10"/>
  <c r="H17" i="11"/>
  <c r="K17" i="11"/>
  <c r="H8" i="13"/>
  <c r="K8" i="13"/>
  <c r="H8" i="12"/>
  <c r="K8" i="12"/>
  <c r="N14" i="11"/>
  <c r="L14" i="12"/>
  <c r="T11" i="10"/>
  <c r="P11" i="10"/>
  <c r="S11" i="10"/>
  <c r="H13" i="11"/>
  <c r="K13" i="11"/>
  <c r="O13" i="11"/>
  <c r="K11" i="12"/>
  <c r="M11" i="12"/>
  <c r="L9" i="13"/>
  <c r="L11" i="13"/>
  <c r="N11" i="12"/>
  <c r="H8" i="11"/>
  <c r="K8" i="11"/>
  <c r="O8" i="11"/>
  <c r="H12" i="13"/>
  <c r="K12" i="13"/>
  <c r="H12" i="12"/>
  <c r="K12" i="12"/>
  <c r="W11" i="1"/>
  <c r="X11" i="1"/>
  <c r="W8" i="1"/>
  <c r="X8" i="1"/>
  <c r="W10" i="1"/>
  <c r="X10" i="1"/>
  <c r="W9" i="1"/>
  <c r="X9" i="1"/>
  <c r="M10" i="11"/>
  <c r="I16" i="13"/>
  <c r="I14" i="13"/>
  <c r="M13" i="11"/>
  <c r="N9" i="11"/>
  <c r="M9" i="11"/>
  <c r="M15" i="12"/>
  <c r="N10" i="11"/>
  <c r="N12" i="11"/>
  <c r="M17" i="11"/>
  <c r="N17" i="11"/>
  <c r="N13" i="11"/>
  <c r="W9" i="10"/>
  <c r="X9" i="10"/>
  <c r="O14" i="11"/>
  <c r="O16" i="11"/>
  <c r="O12" i="11"/>
  <c r="O11" i="12"/>
  <c r="N8" i="12"/>
  <c r="O8" i="12"/>
  <c r="P16" i="11"/>
  <c r="P15" i="12"/>
  <c r="P10" i="11"/>
  <c r="W15" i="10"/>
  <c r="X15" i="10"/>
  <c r="P15" i="13"/>
  <c r="W14" i="10"/>
  <c r="X14" i="10"/>
  <c r="W13" i="10"/>
  <c r="X13" i="10"/>
  <c r="P14" i="11"/>
  <c r="W16" i="10"/>
  <c r="X16" i="10"/>
  <c r="W10" i="10"/>
  <c r="X10" i="10"/>
  <c r="P10" i="12"/>
  <c r="W17" i="10"/>
  <c r="X17" i="10"/>
  <c r="W25" i="10"/>
  <c r="X25" i="10"/>
  <c r="W11" i="10"/>
  <c r="X11" i="10"/>
  <c r="W8" i="10"/>
  <c r="X8" i="10"/>
  <c r="P8" i="11"/>
  <c r="M8" i="11"/>
  <c r="L14" i="13"/>
  <c r="O14" i="12"/>
  <c r="N14" i="12"/>
  <c r="M14" i="12"/>
  <c r="H13" i="13"/>
  <c r="K13" i="13"/>
  <c r="H13" i="12"/>
  <c r="K13" i="12"/>
  <c r="P8" i="13"/>
  <c r="M15" i="13"/>
  <c r="N15" i="13"/>
  <c r="O15" i="13"/>
  <c r="P12" i="12"/>
  <c r="O8" i="13"/>
  <c r="N8" i="13"/>
  <c r="M8" i="13"/>
  <c r="L16" i="13"/>
  <c r="N16" i="12"/>
  <c r="O16" i="12"/>
  <c r="M16" i="12"/>
  <c r="L10" i="13"/>
  <c r="M10" i="12"/>
  <c r="N10" i="12"/>
  <c r="O10" i="12"/>
  <c r="P12" i="11"/>
  <c r="P16" i="12"/>
  <c r="P9" i="11"/>
  <c r="O9" i="11"/>
  <c r="N11" i="13"/>
  <c r="O11" i="13"/>
  <c r="M11" i="13"/>
  <c r="P13" i="11"/>
  <c r="P8" i="12"/>
  <c r="H17" i="13"/>
  <c r="K17" i="13"/>
  <c r="O17" i="13"/>
  <c r="H17" i="12"/>
  <c r="K17" i="12"/>
  <c r="M8" i="12"/>
  <c r="M17" i="13"/>
  <c r="L12" i="13"/>
  <c r="N12" i="12"/>
  <c r="O12" i="12"/>
  <c r="M12" i="12"/>
  <c r="P12" i="13"/>
  <c r="P11" i="12"/>
  <c r="P17" i="11"/>
  <c r="O17" i="11"/>
  <c r="H9" i="13"/>
  <c r="K9" i="13"/>
  <c r="O9" i="13"/>
  <c r="H9" i="12"/>
  <c r="K9" i="12"/>
  <c r="L13" i="13"/>
  <c r="M13" i="12"/>
  <c r="N13" i="12"/>
  <c r="K14" i="13"/>
  <c r="P14" i="13"/>
  <c r="K16" i="13"/>
  <c r="P16" i="13"/>
  <c r="M9" i="13"/>
  <c r="N9" i="12"/>
  <c r="M9" i="12"/>
  <c r="N17" i="13"/>
  <c r="M17" i="12"/>
  <c r="N17" i="12"/>
  <c r="N9" i="13"/>
  <c r="M13" i="13"/>
  <c r="N13" i="13"/>
  <c r="O13" i="13"/>
  <c r="P17" i="12"/>
  <c r="O17" i="12"/>
  <c r="N16" i="13"/>
  <c r="O14" i="13"/>
  <c r="N14" i="13"/>
  <c r="M14" i="13"/>
  <c r="P13" i="13"/>
  <c r="P9" i="13"/>
  <c r="N10" i="13"/>
  <c r="M10" i="13"/>
  <c r="O10" i="13"/>
  <c r="O12" i="13"/>
  <c r="N12" i="13"/>
  <c r="M12" i="13"/>
  <c r="P17" i="13"/>
  <c r="O13" i="12"/>
  <c r="P13" i="12"/>
  <c r="P9" i="12"/>
  <c r="O9" i="12"/>
  <c r="O16" i="13"/>
  <c r="M16" i="13"/>
  <c r="D72" i="18"/>
  <c r="K37" i="15"/>
  <c r="L37" i="15"/>
  <c r="M37" i="15"/>
  <c r="N37" i="15"/>
  <c r="N16" i="1"/>
  <c r="N7" i="1"/>
  <c r="I7" i="10"/>
  <c r="J7" i="10"/>
  <c r="J7" i="11"/>
  <c r="J7" i="12"/>
  <c r="L7" i="10"/>
  <c r="D161" i="18"/>
  <c r="D163" i="18"/>
  <c r="E161" i="18"/>
  <c r="F161" i="18"/>
  <c r="D160" i="18"/>
  <c r="E160" i="18"/>
  <c r="E163" i="18"/>
  <c r="F160" i="18"/>
  <c r="J42" i="15"/>
  <c r="D21" i="18"/>
  <c r="F47" i="25"/>
  <c r="D55" i="14"/>
  <c r="D56" i="14"/>
  <c r="D52" i="14"/>
  <c r="D53" i="14"/>
  <c r="D54" i="14"/>
  <c r="D50" i="14"/>
  <c r="D51" i="14"/>
  <c r="E43" i="8"/>
  <c r="E81" i="9"/>
  <c r="E82" i="9"/>
  <c r="E45" i="8"/>
  <c r="E83" i="9"/>
  <c r="E51" i="8"/>
  <c r="E89" i="9"/>
  <c r="E53" i="8"/>
  <c r="E54" i="8"/>
  <c r="E55" i="8"/>
  <c r="E56" i="8"/>
  <c r="E57" i="8"/>
  <c r="E58" i="8"/>
  <c r="L141" i="19"/>
  <c r="E59" i="8"/>
  <c r="E60" i="8"/>
  <c r="E61" i="8"/>
  <c r="F61" i="8"/>
  <c r="E62" i="8"/>
  <c r="F62" i="8"/>
  <c r="E29" i="8"/>
  <c r="E30" i="8"/>
  <c r="E68" i="9"/>
  <c r="E31" i="8"/>
  <c r="E69" i="9"/>
  <c r="E32" i="8"/>
  <c r="E70" i="9"/>
  <c r="E33" i="8"/>
  <c r="E71" i="9"/>
  <c r="E35" i="8"/>
  <c r="E73" i="9"/>
  <c r="E37" i="8"/>
  <c r="E75" i="9"/>
  <c r="J120" i="19"/>
  <c r="E38" i="8"/>
  <c r="E76" i="9"/>
  <c r="E39" i="8"/>
  <c r="E77" i="9"/>
  <c r="E40" i="8"/>
  <c r="E78" i="9"/>
  <c r="E79" i="9"/>
  <c r="E15" i="8"/>
  <c r="F15" i="8"/>
  <c r="G15" i="8"/>
  <c r="H15" i="8"/>
  <c r="H53" i="9"/>
  <c r="O97" i="22"/>
  <c r="E16" i="8"/>
  <c r="F16" i="8"/>
  <c r="E17" i="8"/>
  <c r="E18" i="8"/>
  <c r="F18" i="8"/>
  <c r="E19" i="8"/>
  <c r="F19" i="8"/>
  <c r="E20" i="8"/>
  <c r="F20" i="8"/>
  <c r="E21" i="8"/>
  <c r="F21" i="8"/>
  <c r="G21" i="8"/>
  <c r="G59" i="9"/>
  <c r="J103" i="21"/>
  <c r="E22" i="8"/>
  <c r="F22" i="8"/>
  <c r="E23" i="8"/>
  <c r="F23" i="8"/>
  <c r="E24" i="8"/>
  <c r="F24" i="8"/>
  <c r="E25" i="8"/>
  <c r="F25" i="8"/>
  <c r="G25" i="8"/>
  <c r="F9" i="8"/>
  <c r="F10" i="8"/>
  <c r="E99" i="13"/>
  <c r="H61" i="18"/>
  <c r="L17" i="15"/>
  <c r="M17" i="15"/>
  <c r="N17" i="15"/>
  <c r="K14" i="15"/>
  <c r="L14" i="15"/>
  <c r="M14" i="15"/>
  <c r="N14" i="15"/>
  <c r="K26" i="15"/>
  <c r="L26" i="15"/>
  <c r="M26" i="15"/>
  <c r="N26" i="15"/>
  <c r="T2" i="11"/>
  <c r="N12" i="1"/>
  <c r="N14" i="1"/>
  <c r="F11" i="8"/>
  <c r="F12" i="8"/>
  <c r="G12" i="8"/>
  <c r="F14" i="8"/>
  <c r="F13" i="8"/>
  <c r="B7" i="10"/>
  <c r="B7" i="11"/>
  <c r="B42" i="32"/>
  <c r="B43" i="32"/>
  <c r="I60" i="18"/>
  <c r="K6" i="25"/>
  <c r="G56" i="18"/>
  <c r="N57" i="18"/>
  <c r="B12" i="18"/>
  <c r="B13" i="18"/>
  <c r="B14" i="18"/>
  <c r="B15" i="18"/>
  <c r="C12" i="18"/>
  <c r="E12" i="32"/>
  <c r="F66" i="32"/>
  <c r="D43" i="14"/>
  <c r="D44" i="14"/>
  <c r="D45" i="14"/>
  <c r="D46" i="14"/>
  <c r="D47" i="14"/>
  <c r="D48" i="14"/>
  <c r="D49" i="14"/>
  <c r="F72" i="32"/>
  <c r="F73" i="32"/>
  <c r="F79" i="32"/>
  <c r="B13" i="32"/>
  <c r="C12" i="32"/>
  <c r="C13" i="32"/>
  <c r="D12" i="32"/>
  <c r="D13" i="32"/>
  <c r="E13" i="32"/>
  <c r="F37" i="32"/>
  <c r="F39" i="32"/>
  <c r="C42" i="32"/>
  <c r="D42" i="32"/>
  <c r="D43" i="32"/>
  <c r="D44" i="32"/>
  <c r="D45" i="32"/>
  <c r="D46" i="32"/>
  <c r="D47" i="32"/>
  <c r="D48" i="32"/>
  <c r="D49" i="32"/>
  <c r="D50" i="32"/>
  <c r="D51" i="32"/>
  <c r="D52" i="32"/>
  <c r="F54" i="32"/>
  <c r="F56" i="32"/>
  <c r="F57" i="32"/>
  <c r="D12" i="17"/>
  <c r="E12" i="17"/>
  <c r="F12" i="17"/>
  <c r="G12" i="17"/>
  <c r="H12" i="17"/>
  <c r="I12" i="17"/>
  <c r="J12" i="17"/>
  <c r="K12" i="17"/>
  <c r="L12" i="17"/>
  <c r="M12" i="17"/>
  <c r="N12" i="17"/>
  <c r="O12" i="17"/>
  <c r="P12" i="17"/>
  <c r="Q12" i="17"/>
  <c r="R12" i="17"/>
  <c r="C13" i="18"/>
  <c r="D13" i="18"/>
  <c r="H43" i="25"/>
  <c r="I43" i="25"/>
  <c r="K43" i="25"/>
  <c r="L43" i="25"/>
  <c r="M43" i="25"/>
  <c r="N43" i="25"/>
  <c r="C14" i="18"/>
  <c r="C15" i="18"/>
  <c r="D15" i="18"/>
  <c r="E15" i="18"/>
  <c r="S15" i="18"/>
  <c r="F15" i="18"/>
  <c r="G15" i="18"/>
  <c r="H15" i="18"/>
  <c r="I15" i="18"/>
  <c r="J15" i="18"/>
  <c r="K15" i="18"/>
  <c r="L15" i="18"/>
  <c r="M15" i="18"/>
  <c r="N15" i="18"/>
  <c r="O15" i="18"/>
  <c r="P15" i="18"/>
  <c r="Q15" i="18"/>
  <c r="R15" i="18"/>
  <c r="B16" i="18"/>
  <c r="C16" i="18"/>
  <c r="B17" i="18"/>
  <c r="C17" i="18"/>
  <c r="M17" i="17"/>
  <c r="P17" i="17"/>
  <c r="B18" i="18"/>
  <c r="C18" i="18"/>
  <c r="B19" i="18"/>
  <c r="C19" i="18"/>
  <c r="D19" i="18"/>
  <c r="F49" i="25"/>
  <c r="E19" i="18"/>
  <c r="G49" i="25"/>
  <c r="F19" i="18"/>
  <c r="H49" i="25"/>
  <c r="G19" i="18"/>
  <c r="I49" i="25"/>
  <c r="H19" i="18"/>
  <c r="J49" i="25"/>
  <c r="I19" i="18"/>
  <c r="K49" i="25"/>
  <c r="J19" i="18"/>
  <c r="L49" i="25"/>
  <c r="K19" i="18"/>
  <c r="M49" i="25"/>
  <c r="L19" i="18"/>
  <c r="N49" i="25"/>
  <c r="M19" i="18"/>
  <c r="O49" i="25"/>
  <c r="N19" i="18"/>
  <c r="P49" i="25"/>
  <c r="O19" i="18"/>
  <c r="P19" i="18"/>
  <c r="Q19" i="18"/>
  <c r="R19" i="18"/>
  <c r="B20" i="18"/>
  <c r="C20" i="18"/>
  <c r="B21" i="18"/>
  <c r="C21" i="18"/>
  <c r="B22" i="18"/>
  <c r="C22" i="18"/>
  <c r="D22" i="18"/>
  <c r="E22" i="18"/>
  <c r="F22" i="18"/>
  <c r="G22" i="18"/>
  <c r="H22" i="18"/>
  <c r="I22" i="18"/>
  <c r="J22" i="18"/>
  <c r="K22" i="18"/>
  <c r="L22" i="18"/>
  <c r="M22" i="18"/>
  <c r="N22" i="18"/>
  <c r="O22" i="18"/>
  <c r="P22" i="18"/>
  <c r="Q22" i="18"/>
  <c r="R22" i="18"/>
  <c r="B26" i="18"/>
  <c r="C26" i="18"/>
  <c r="B27" i="18"/>
  <c r="C27" i="18"/>
  <c r="D27" i="18"/>
  <c r="B28" i="18"/>
  <c r="C28" i="18"/>
  <c r="B29" i="18"/>
  <c r="C29" i="18"/>
  <c r="B30" i="18"/>
  <c r="C30" i="18"/>
  <c r="B31" i="18"/>
  <c r="C31" i="18"/>
  <c r="D31" i="18"/>
  <c r="B32" i="18"/>
  <c r="C32" i="18"/>
  <c r="D32" i="18"/>
  <c r="B33" i="18"/>
  <c r="C33" i="18"/>
  <c r="D33" i="18"/>
  <c r="E33" i="18"/>
  <c r="F33" i="18"/>
  <c r="G33" i="18"/>
  <c r="H33" i="18"/>
  <c r="I33" i="18"/>
  <c r="J33" i="18"/>
  <c r="K33" i="18"/>
  <c r="L33" i="18"/>
  <c r="M33" i="18"/>
  <c r="N33" i="18"/>
  <c r="O33" i="18"/>
  <c r="P33" i="18"/>
  <c r="Q33" i="18"/>
  <c r="R33" i="18"/>
  <c r="B37" i="18"/>
  <c r="C37" i="18"/>
  <c r="D37" i="18"/>
  <c r="E37" i="18"/>
  <c r="F37" i="18"/>
  <c r="G37" i="18"/>
  <c r="H37" i="18"/>
  <c r="I37" i="18"/>
  <c r="J37" i="18"/>
  <c r="K37" i="18"/>
  <c r="L37" i="18"/>
  <c r="M37" i="18"/>
  <c r="N37" i="18"/>
  <c r="O37" i="18"/>
  <c r="P37" i="18"/>
  <c r="Q37" i="18"/>
  <c r="R37" i="18"/>
  <c r="B38" i="18"/>
  <c r="C38" i="18"/>
  <c r="D38" i="18"/>
  <c r="E38" i="18"/>
  <c r="F38" i="18"/>
  <c r="G38" i="18"/>
  <c r="H38" i="18"/>
  <c r="I38" i="18"/>
  <c r="J38" i="18"/>
  <c r="K38" i="18"/>
  <c r="L38" i="18"/>
  <c r="M38" i="18"/>
  <c r="N38" i="18"/>
  <c r="O38" i="18"/>
  <c r="P38" i="18"/>
  <c r="Q38" i="18"/>
  <c r="R38" i="18"/>
  <c r="B39" i="18"/>
  <c r="C39" i="18"/>
  <c r="D39" i="18"/>
  <c r="E39" i="18"/>
  <c r="F39" i="18"/>
  <c r="S39" i="18"/>
  <c r="G39" i="18"/>
  <c r="H39" i="18"/>
  <c r="I39" i="18"/>
  <c r="J39" i="18"/>
  <c r="K39" i="18"/>
  <c r="L39" i="18"/>
  <c r="M39" i="18"/>
  <c r="N39" i="18"/>
  <c r="O39" i="18"/>
  <c r="P39" i="18"/>
  <c r="Q39" i="18"/>
  <c r="R39" i="18"/>
  <c r="B40" i="18"/>
  <c r="C40" i="18"/>
  <c r="D40" i="18"/>
  <c r="E40" i="18"/>
  <c r="S40" i="18"/>
  <c r="F40" i="18"/>
  <c r="G40" i="18"/>
  <c r="H40" i="18"/>
  <c r="I40" i="18"/>
  <c r="J40" i="18"/>
  <c r="K40" i="18"/>
  <c r="L40" i="18"/>
  <c r="M40" i="18"/>
  <c r="N40" i="18"/>
  <c r="O40" i="18"/>
  <c r="P40" i="18"/>
  <c r="Q40" i="18"/>
  <c r="R40" i="18"/>
  <c r="B41" i="18"/>
  <c r="C41" i="18"/>
  <c r="B42" i="18"/>
  <c r="C42" i="18"/>
  <c r="D42" i="18"/>
  <c r="E42" i="18"/>
  <c r="F42" i="18"/>
  <c r="S42" i="18"/>
  <c r="G42" i="18"/>
  <c r="H42" i="18"/>
  <c r="I42" i="18"/>
  <c r="J42" i="18"/>
  <c r="K42" i="18"/>
  <c r="L42" i="18"/>
  <c r="M42" i="18"/>
  <c r="N42" i="18"/>
  <c r="O42" i="18"/>
  <c r="P42" i="18"/>
  <c r="Q42" i="18"/>
  <c r="R42" i="18"/>
  <c r="B43" i="18"/>
  <c r="C43" i="18"/>
  <c r="D43" i="18"/>
  <c r="E43" i="18"/>
  <c r="S43" i="18"/>
  <c r="F43" i="18"/>
  <c r="G43" i="18"/>
  <c r="H43" i="18"/>
  <c r="I43" i="18"/>
  <c r="J43" i="18"/>
  <c r="K43" i="18"/>
  <c r="L43" i="18"/>
  <c r="M43" i="18"/>
  <c r="N43" i="18"/>
  <c r="O43" i="18"/>
  <c r="P43" i="18"/>
  <c r="Q43" i="18"/>
  <c r="R43" i="18"/>
  <c r="B44" i="18"/>
  <c r="C44" i="18"/>
  <c r="D44" i="18"/>
  <c r="E44" i="18"/>
  <c r="F44" i="18"/>
  <c r="G44" i="18"/>
  <c r="H44" i="18"/>
  <c r="I44" i="18"/>
  <c r="J44" i="18"/>
  <c r="K44" i="18"/>
  <c r="L44" i="18"/>
  <c r="M44" i="18"/>
  <c r="N44" i="18"/>
  <c r="O44" i="18"/>
  <c r="P44" i="18"/>
  <c r="Q44" i="18"/>
  <c r="R44" i="18"/>
  <c r="B45" i="18"/>
  <c r="C45" i="18"/>
  <c r="D45" i="18"/>
  <c r="E45" i="18"/>
  <c r="F45" i="18"/>
  <c r="G45" i="18"/>
  <c r="S45" i="18"/>
  <c r="H45" i="18"/>
  <c r="I45" i="18"/>
  <c r="J45" i="18"/>
  <c r="K45" i="18"/>
  <c r="L45" i="18"/>
  <c r="M45" i="18"/>
  <c r="N45" i="18"/>
  <c r="O45" i="18"/>
  <c r="P45" i="18"/>
  <c r="Q45" i="18"/>
  <c r="R45" i="18"/>
  <c r="B46" i="18"/>
  <c r="C46" i="18"/>
  <c r="D46" i="18"/>
  <c r="E46" i="18"/>
  <c r="F46" i="18"/>
  <c r="G46" i="18"/>
  <c r="H46" i="18"/>
  <c r="I46" i="18"/>
  <c r="K51" i="25"/>
  <c r="J46" i="18"/>
  <c r="K46" i="18"/>
  <c r="L46" i="18"/>
  <c r="M46" i="18"/>
  <c r="O51" i="25"/>
  <c r="N46" i="18"/>
  <c r="O46" i="18"/>
  <c r="P46" i="18"/>
  <c r="Q46" i="18"/>
  <c r="R46" i="18"/>
  <c r="B47" i="18"/>
  <c r="C47" i="18"/>
  <c r="D47" i="18"/>
  <c r="E47" i="18"/>
  <c r="F47" i="18"/>
  <c r="G47" i="18"/>
  <c r="H47" i="18"/>
  <c r="I47" i="18"/>
  <c r="J47" i="18"/>
  <c r="K47" i="18"/>
  <c r="L47" i="18"/>
  <c r="M47" i="18"/>
  <c r="N47" i="18"/>
  <c r="O47" i="18"/>
  <c r="P47" i="18"/>
  <c r="Q47" i="18"/>
  <c r="R47" i="18"/>
  <c r="B48" i="18"/>
  <c r="C48" i="18"/>
  <c r="D48" i="18"/>
  <c r="E48" i="18"/>
  <c r="F48" i="18"/>
  <c r="G48" i="18"/>
  <c r="H48" i="18"/>
  <c r="I48" i="18"/>
  <c r="J48" i="18"/>
  <c r="K48" i="18"/>
  <c r="L48" i="18"/>
  <c r="M48" i="18"/>
  <c r="N48" i="18"/>
  <c r="O48" i="18"/>
  <c r="P48" i="18"/>
  <c r="Q48" i="18"/>
  <c r="R48" i="18"/>
  <c r="B49" i="18"/>
  <c r="C49" i="18"/>
  <c r="D49" i="18"/>
  <c r="E49" i="18"/>
  <c r="F49" i="18"/>
  <c r="G49" i="18"/>
  <c r="H49" i="18"/>
  <c r="I49" i="18"/>
  <c r="J49" i="18"/>
  <c r="K49" i="18"/>
  <c r="L49" i="18"/>
  <c r="M49" i="18"/>
  <c r="N49" i="18"/>
  <c r="O49" i="18"/>
  <c r="P49" i="18"/>
  <c r="Q49" i="18"/>
  <c r="R49" i="18"/>
  <c r="B55" i="18"/>
  <c r="C55" i="18"/>
  <c r="B56" i="18"/>
  <c r="C56" i="18"/>
  <c r="B57" i="18"/>
  <c r="C57" i="18"/>
  <c r="B58" i="18"/>
  <c r="C58" i="18"/>
  <c r="B59" i="18"/>
  <c r="C59" i="18"/>
  <c r="B60" i="18"/>
  <c r="C60" i="18"/>
  <c r="B61" i="18"/>
  <c r="C61" i="18"/>
  <c r="B62" i="18"/>
  <c r="C62" i="18"/>
  <c r="G62" i="18"/>
  <c r="B66" i="18"/>
  <c r="C66" i="18"/>
  <c r="B67" i="18"/>
  <c r="C67" i="18"/>
  <c r="D67" i="18"/>
  <c r="B68" i="18"/>
  <c r="C68" i="18"/>
  <c r="B69" i="18"/>
  <c r="C69" i="18"/>
  <c r="D69" i="18"/>
  <c r="B70" i="18"/>
  <c r="C70" i="18"/>
  <c r="E70" i="18"/>
  <c r="B71" i="18"/>
  <c r="C71" i="18"/>
  <c r="B72" i="18"/>
  <c r="C72" i="18"/>
  <c r="B73" i="18"/>
  <c r="C73" i="18"/>
  <c r="B74" i="18"/>
  <c r="C74" i="18"/>
  <c r="E74" i="18"/>
  <c r="B75" i="18"/>
  <c r="C75" i="18"/>
  <c r="N75" i="18"/>
  <c r="B79" i="18"/>
  <c r="C79" i="18"/>
  <c r="B80" i="18"/>
  <c r="C80" i="18"/>
  <c r="N17" i="1"/>
  <c r="N13" i="1"/>
  <c r="B81" i="18"/>
  <c r="C81" i="18"/>
  <c r="B82" i="18"/>
  <c r="C82" i="18"/>
  <c r="B83" i="18"/>
  <c r="C83" i="18"/>
  <c r="B84" i="18"/>
  <c r="C84" i="18"/>
  <c r="B85" i="18"/>
  <c r="C85" i="18"/>
  <c r="B86" i="18"/>
  <c r="C86" i="18"/>
  <c r="U99" i="1"/>
  <c r="D40" i="9"/>
  <c r="B87" i="18"/>
  <c r="C87" i="18"/>
  <c r="V99" i="1"/>
  <c r="D41" i="9"/>
  <c r="B47" i="9"/>
  <c r="B91" i="26"/>
  <c r="C47" i="9"/>
  <c r="C91" i="18"/>
  <c r="D47" i="9"/>
  <c r="D91" i="18"/>
  <c r="B48" i="9"/>
  <c r="B92" i="27"/>
  <c r="B92" i="18"/>
  <c r="C48" i="9"/>
  <c r="C92" i="18"/>
  <c r="D48" i="9"/>
  <c r="F92" i="18"/>
  <c r="B49" i="9"/>
  <c r="C49" i="9"/>
  <c r="C93" i="20"/>
  <c r="D49" i="9"/>
  <c r="F93" i="18"/>
  <c r="H17" i="25"/>
  <c r="B50" i="9"/>
  <c r="C50" i="9"/>
  <c r="D50" i="9"/>
  <c r="E94" i="18"/>
  <c r="B51" i="9"/>
  <c r="B95" i="18"/>
  <c r="C51" i="9"/>
  <c r="C95" i="29"/>
  <c r="D51" i="9"/>
  <c r="D95" i="18"/>
  <c r="B52" i="9"/>
  <c r="C52" i="9"/>
  <c r="C96" i="29"/>
  <c r="D52" i="9"/>
  <c r="D96" i="18"/>
  <c r="B53" i="9"/>
  <c r="C53" i="9"/>
  <c r="D53" i="9"/>
  <c r="B54" i="9"/>
  <c r="B98" i="18"/>
  <c r="C54" i="9"/>
  <c r="D54" i="9"/>
  <c r="J98" i="18"/>
  <c r="B55" i="9"/>
  <c r="C55" i="9"/>
  <c r="C99" i="17"/>
  <c r="D55" i="9"/>
  <c r="F99" i="18"/>
  <c r="B56" i="9"/>
  <c r="B100" i="22"/>
  <c r="C56" i="9"/>
  <c r="C100" i="21"/>
  <c r="D56" i="9"/>
  <c r="E100" i="18"/>
  <c r="B57" i="9"/>
  <c r="C57" i="9"/>
  <c r="C101" i="18"/>
  <c r="D57" i="9"/>
  <c r="G101" i="18"/>
  <c r="B58" i="9"/>
  <c r="B102" i="22"/>
  <c r="C58" i="9"/>
  <c r="C102" i="27"/>
  <c r="D58" i="9"/>
  <c r="B59" i="9"/>
  <c r="C59" i="9"/>
  <c r="C103" i="29"/>
  <c r="D59" i="9"/>
  <c r="B60" i="9"/>
  <c r="B104" i="18"/>
  <c r="C60" i="9"/>
  <c r="D60" i="9"/>
  <c r="B61" i="9"/>
  <c r="C61" i="9"/>
  <c r="C105" i="18"/>
  <c r="D61" i="9"/>
  <c r="B62" i="9"/>
  <c r="C62" i="9"/>
  <c r="D62" i="9"/>
  <c r="D106" i="18"/>
  <c r="B63" i="9"/>
  <c r="C63" i="9"/>
  <c r="D63" i="9"/>
  <c r="E107" i="18"/>
  <c r="B67" i="9"/>
  <c r="B111" i="18"/>
  <c r="C67" i="9"/>
  <c r="G111" i="18"/>
  <c r="B112" i="18"/>
  <c r="B113" i="18"/>
  <c r="N113" i="18"/>
  <c r="I113" i="18"/>
  <c r="B114" i="18"/>
  <c r="C114" i="18"/>
  <c r="B116" i="18"/>
  <c r="C116" i="18"/>
  <c r="E116" i="18"/>
  <c r="G25" i="25"/>
  <c r="F116" i="18"/>
  <c r="H25" i="25"/>
  <c r="I116" i="18"/>
  <c r="K25" i="25"/>
  <c r="K116" i="18"/>
  <c r="M25" i="25"/>
  <c r="O116" i="18"/>
  <c r="Q25" i="25"/>
  <c r="C117" i="18"/>
  <c r="D117" i="18"/>
  <c r="B118" i="18"/>
  <c r="G118" i="18"/>
  <c r="I26" i="25"/>
  <c r="B119" i="18"/>
  <c r="C119" i="28"/>
  <c r="D119" i="18"/>
  <c r="F27" i="25"/>
  <c r="C120" i="18"/>
  <c r="C121" i="18"/>
  <c r="D121" i="18"/>
  <c r="B122" i="18"/>
  <c r="C122" i="18"/>
  <c r="C123" i="18"/>
  <c r="D123" i="18"/>
  <c r="F31" i="25"/>
  <c r="B124" i="18"/>
  <c r="C124" i="18"/>
  <c r="I124" i="18"/>
  <c r="K32" i="25"/>
  <c r="C125" i="18"/>
  <c r="D125" i="18"/>
  <c r="B126" i="18"/>
  <c r="C126" i="18"/>
  <c r="K126" i="18"/>
  <c r="B127" i="18"/>
  <c r="C127" i="18"/>
  <c r="D127" i="18"/>
  <c r="F35" i="25"/>
  <c r="K127" i="18"/>
  <c r="M35" i="25"/>
  <c r="B128" i="18"/>
  <c r="C128" i="18"/>
  <c r="B129" i="18"/>
  <c r="C129" i="18"/>
  <c r="G129" i="18"/>
  <c r="I37" i="25"/>
  <c r="B130" i="18"/>
  <c r="C130" i="18"/>
  <c r="B131" i="18"/>
  <c r="C131" i="18"/>
  <c r="B132" i="18"/>
  <c r="C132" i="18"/>
  <c r="D132" i="18"/>
  <c r="B133" i="18"/>
  <c r="C133" i="18"/>
  <c r="E133" i="18"/>
  <c r="D133" i="18"/>
  <c r="F133" i="18"/>
  <c r="G133" i="18"/>
  <c r="H133" i="18"/>
  <c r="J133" i="18"/>
  <c r="K133" i="18"/>
  <c r="L133" i="18"/>
  <c r="N133" i="18"/>
  <c r="O133" i="18"/>
  <c r="C134" i="18"/>
  <c r="B135" i="18"/>
  <c r="C135" i="19"/>
  <c r="E135" i="18"/>
  <c r="N135" i="18"/>
  <c r="C136" i="26"/>
  <c r="G136" i="18"/>
  <c r="B137" i="17"/>
  <c r="C137" i="18"/>
  <c r="B138" i="17"/>
  <c r="C138" i="18"/>
  <c r="B139" i="22"/>
  <c r="C139" i="18"/>
  <c r="N139" i="18"/>
  <c r="B140" i="18"/>
  <c r="C140" i="17"/>
  <c r="C141" i="21"/>
  <c r="F141" i="18"/>
  <c r="B142" i="20"/>
  <c r="G142" i="18"/>
  <c r="B98" i="9"/>
  <c r="B143" i="19"/>
  <c r="C98" i="9"/>
  <c r="C143" i="18"/>
  <c r="B102" i="9"/>
  <c r="B147" i="28"/>
  <c r="C102" i="9"/>
  <c r="C147" i="28"/>
  <c r="D102" i="9"/>
  <c r="D147" i="18"/>
  <c r="B106" i="9"/>
  <c r="C106" i="9"/>
  <c r="D106" i="9"/>
  <c r="B107" i="9"/>
  <c r="B152" i="18"/>
  <c r="C107" i="9"/>
  <c r="B108" i="9"/>
  <c r="B153" i="28"/>
  <c r="C108" i="9"/>
  <c r="C153" i="17"/>
  <c r="D108" i="9"/>
  <c r="H153" i="18"/>
  <c r="B109" i="9"/>
  <c r="C109" i="9"/>
  <c r="C154" i="27"/>
  <c r="E42" i="8"/>
  <c r="E80" i="9"/>
  <c r="A1" i="1"/>
  <c r="V101" i="1"/>
  <c r="U101" i="1"/>
  <c r="J101" i="1"/>
  <c r="I101" i="1"/>
  <c r="J99" i="1"/>
  <c r="I99" i="1"/>
  <c r="E99" i="1"/>
  <c r="C99" i="1"/>
  <c r="V2" i="1"/>
  <c r="E23" i="14"/>
  <c r="F23" i="14"/>
  <c r="G23" i="14"/>
  <c r="R46" i="21"/>
  <c r="H23" i="14"/>
  <c r="E67" i="14"/>
  <c r="F67" i="14"/>
  <c r="G67" i="14"/>
  <c r="E72" i="8"/>
  <c r="E108" i="9"/>
  <c r="L153" i="19"/>
  <c r="F72" i="8"/>
  <c r="G72" i="8"/>
  <c r="E43" i="14"/>
  <c r="E44" i="14"/>
  <c r="E45" i="14"/>
  <c r="E46" i="14"/>
  <c r="E47" i="14"/>
  <c r="E48" i="14"/>
  <c r="E49" i="14"/>
  <c r="E50" i="14"/>
  <c r="E51" i="14"/>
  <c r="E52" i="14"/>
  <c r="E53" i="14"/>
  <c r="E54" i="14"/>
  <c r="E55" i="14"/>
  <c r="E56" i="14"/>
  <c r="F43" i="14"/>
  <c r="F44" i="14"/>
  <c r="F45" i="14"/>
  <c r="F46" i="14"/>
  <c r="F47" i="14"/>
  <c r="F48" i="14"/>
  <c r="F49" i="14"/>
  <c r="F50" i="14"/>
  <c r="F51" i="14"/>
  <c r="F52" i="14"/>
  <c r="F53" i="14"/>
  <c r="F54" i="14"/>
  <c r="F55" i="14"/>
  <c r="F56" i="14"/>
  <c r="G43" i="14"/>
  <c r="G44" i="14"/>
  <c r="G45" i="14"/>
  <c r="G46" i="14"/>
  <c r="G47" i="14"/>
  <c r="G48" i="14"/>
  <c r="G49" i="14"/>
  <c r="G50" i="14"/>
  <c r="G51" i="14"/>
  <c r="G52" i="14"/>
  <c r="G53" i="14"/>
  <c r="G54" i="14"/>
  <c r="G55" i="14"/>
  <c r="G56" i="14"/>
  <c r="H43" i="14"/>
  <c r="H44" i="14"/>
  <c r="H45" i="14"/>
  <c r="H46" i="14"/>
  <c r="H47" i="14"/>
  <c r="H48" i="14"/>
  <c r="H49" i="14"/>
  <c r="H50" i="14"/>
  <c r="H51" i="14"/>
  <c r="H52" i="14"/>
  <c r="H53" i="14"/>
  <c r="H54" i="14"/>
  <c r="H55" i="14"/>
  <c r="H56" i="14"/>
  <c r="K25" i="15"/>
  <c r="H67" i="14"/>
  <c r="K24" i="15"/>
  <c r="K10" i="15"/>
  <c r="C95" i="32"/>
  <c r="L10" i="15"/>
  <c r="M10" i="15"/>
  <c r="N10" i="15"/>
  <c r="T158" i="17"/>
  <c r="K13" i="15"/>
  <c r="L13" i="15"/>
  <c r="M13" i="15"/>
  <c r="N13" i="15"/>
  <c r="J85" i="32"/>
  <c r="I85" i="32"/>
  <c r="H85" i="32"/>
  <c r="G85" i="32"/>
  <c r="Q9" i="29"/>
  <c r="L9" i="29"/>
  <c r="N9" i="28"/>
  <c r="N9" i="29"/>
  <c r="M9" i="28"/>
  <c r="M9" i="29"/>
  <c r="R9" i="27"/>
  <c r="R9" i="28"/>
  <c r="R9" i="29"/>
  <c r="P9" i="27"/>
  <c r="P9" i="28"/>
  <c r="O9" i="27"/>
  <c r="O9" i="28"/>
  <c r="O9" i="29"/>
  <c r="M9" i="26"/>
  <c r="N9" i="26"/>
  <c r="L9" i="26"/>
  <c r="L9" i="27"/>
  <c r="K9" i="26"/>
  <c r="K9" i="27"/>
  <c r="K9" i="28"/>
  <c r="J9" i="26"/>
  <c r="J9" i="27"/>
  <c r="J9" i="28"/>
  <c r="I9" i="26"/>
  <c r="I9" i="27"/>
  <c r="I9" i="28"/>
  <c r="H9" i="26"/>
  <c r="H9" i="27"/>
  <c r="H9" i="28"/>
  <c r="G9" i="26"/>
  <c r="G9" i="27"/>
  <c r="G9" i="28"/>
  <c r="F9" i="26"/>
  <c r="F9" i="27"/>
  <c r="F9" i="28"/>
  <c r="E9" i="26"/>
  <c r="E9" i="27"/>
  <c r="E9" i="28"/>
  <c r="E9" i="29"/>
  <c r="E12" i="29"/>
  <c r="P9" i="29"/>
  <c r="S14" i="17"/>
  <c r="S13" i="17"/>
  <c r="S13" i="26"/>
  <c r="S13" i="27"/>
  <c r="S13" i="28"/>
  <c r="S13" i="29"/>
  <c r="P14" i="26"/>
  <c r="O14" i="26"/>
  <c r="N14" i="26"/>
  <c r="M14" i="26"/>
  <c r="L14" i="26"/>
  <c r="K14" i="26"/>
  <c r="J14" i="26"/>
  <c r="I14" i="26"/>
  <c r="H14" i="26"/>
  <c r="G14" i="26"/>
  <c r="F14" i="26"/>
  <c r="E14" i="26"/>
  <c r="E14" i="27"/>
  <c r="P14" i="27"/>
  <c r="O14" i="27"/>
  <c r="N14" i="27"/>
  <c r="M14" i="27"/>
  <c r="L14" i="27"/>
  <c r="K14" i="27"/>
  <c r="K14" i="28"/>
  <c r="K14" i="29"/>
  <c r="J14" i="27"/>
  <c r="I14" i="27"/>
  <c r="H14" i="27"/>
  <c r="G14" i="27"/>
  <c r="F14" i="27"/>
  <c r="P14" i="28"/>
  <c r="P14" i="29"/>
  <c r="O14" i="28"/>
  <c r="N14" i="28"/>
  <c r="M14" i="28"/>
  <c r="L14" i="28"/>
  <c r="L14" i="29"/>
  <c r="J14" i="28"/>
  <c r="I14" i="28"/>
  <c r="H14" i="28"/>
  <c r="G14" i="28"/>
  <c r="F14" i="28"/>
  <c r="F14" i="29"/>
  <c r="O14" i="29"/>
  <c r="N14" i="29"/>
  <c r="M14" i="29"/>
  <c r="J14" i="29"/>
  <c r="I14" i="29"/>
  <c r="H14" i="29"/>
  <c r="G14" i="29"/>
  <c r="C14" i="26"/>
  <c r="B14" i="26"/>
  <c r="C13" i="26"/>
  <c r="B13" i="26"/>
  <c r="C14" i="27"/>
  <c r="B14" i="27"/>
  <c r="C13" i="27"/>
  <c r="B13" i="27"/>
  <c r="C14" i="28"/>
  <c r="B14" i="28"/>
  <c r="C13" i="28"/>
  <c r="B13" i="28"/>
  <c r="C14" i="29"/>
  <c r="B14" i="29"/>
  <c r="C13" i="29"/>
  <c r="B13" i="29"/>
  <c r="C14" i="19"/>
  <c r="B14" i="19"/>
  <c r="C13" i="19"/>
  <c r="B13" i="19"/>
  <c r="C14" i="20"/>
  <c r="B14" i="20"/>
  <c r="C13" i="20"/>
  <c r="B13" i="20"/>
  <c r="C14" i="21"/>
  <c r="B14" i="21"/>
  <c r="C13" i="21"/>
  <c r="B13" i="21"/>
  <c r="C14" i="22"/>
  <c r="B14" i="22"/>
  <c r="C13" i="22"/>
  <c r="B13" i="22"/>
  <c r="C14" i="17"/>
  <c r="B14" i="17"/>
  <c r="C13" i="17"/>
  <c r="B13" i="17"/>
  <c r="J10" i="17"/>
  <c r="G10" i="17"/>
  <c r="D9" i="26"/>
  <c r="D9" i="27"/>
  <c r="D30" i="16"/>
  <c r="F71" i="14"/>
  <c r="O161" i="17"/>
  <c r="N161" i="17"/>
  <c r="M161" i="17"/>
  <c r="L161" i="17"/>
  <c r="K161" i="17"/>
  <c r="J161" i="17"/>
  <c r="I161" i="17"/>
  <c r="H161" i="17"/>
  <c r="G161" i="17"/>
  <c r="F161" i="17"/>
  <c r="S48" i="17"/>
  <c r="C48" i="17"/>
  <c r="B48" i="17"/>
  <c r="S47" i="17"/>
  <c r="C47" i="17"/>
  <c r="B47" i="17"/>
  <c r="S46" i="17"/>
  <c r="C46" i="17"/>
  <c r="B46" i="17"/>
  <c r="R48" i="26"/>
  <c r="Q48" i="26"/>
  <c r="Q48" i="27"/>
  <c r="Q48" i="28"/>
  <c r="Q48" i="29"/>
  <c r="P48" i="26"/>
  <c r="P48" i="27"/>
  <c r="P48" i="28"/>
  <c r="P48" i="29"/>
  <c r="O48" i="26"/>
  <c r="O48" i="27"/>
  <c r="O48" i="28"/>
  <c r="O48" i="29"/>
  <c r="N48" i="26"/>
  <c r="M48" i="26"/>
  <c r="M48" i="27"/>
  <c r="M48" i="28"/>
  <c r="M48" i="29"/>
  <c r="L48" i="26"/>
  <c r="K48" i="26"/>
  <c r="K48" i="27"/>
  <c r="K48" i="28"/>
  <c r="K48" i="29"/>
  <c r="J48" i="26"/>
  <c r="I48" i="26"/>
  <c r="I48" i="27"/>
  <c r="I48" i="28"/>
  <c r="I48" i="29"/>
  <c r="H48" i="26"/>
  <c r="H48" i="27"/>
  <c r="H48" i="28"/>
  <c r="H48" i="29"/>
  <c r="G48" i="26"/>
  <c r="G48" i="27"/>
  <c r="G48" i="28"/>
  <c r="G48" i="29"/>
  <c r="F48" i="26"/>
  <c r="E48" i="26"/>
  <c r="D48" i="26"/>
  <c r="C48" i="26"/>
  <c r="B48" i="26"/>
  <c r="R47" i="26"/>
  <c r="R47" i="27"/>
  <c r="R47" i="28"/>
  <c r="R47" i="29"/>
  <c r="Q47" i="26"/>
  <c r="Q47" i="27"/>
  <c r="Q47" i="28"/>
  <c r="Q47" i="29"/>
  <c r="P47" i="26"/>
  <c r="P47" i="27"/>
  <c r="P47" i="28"/>
  <c r="P47" i="29"/>
  <c r="O47" i="26"/>
  <c r="N47" i="26"/>
  <c r="N47" i="27"/>
  <c r="N47" i="28"/>
  <c r="N47" i="29"/>
  <c r="M47" i="26"/>
  <c r="L47" i="26"/>
  <c r="L47" i="27"/>
  <c r="L47" i="28"/>
  <c r="L47" i="29"/>
  <c r="K47" i="26"/>
  <c r="J47" i="26"/>
  <c r="J47" i="27"/>
  <c r="J47" i="28"/>
  <c r="J47" i="29"/>
  <c r="I47" i="26"/>
  <c r="I47" i="27"/>
  <c r="I47" i="28"/>
  <c r="I47" i="29"/>
  <c r="H47" i="26"/>
  <c r="H47" i="27"/>
  <c r="H47" i="28"/>
  <c r="H47" i="29"/>
  <c r="G47" i="26"/>
  <c r="F47" i="26"/>
  <c r="F47" i="27"/>
  <c r="F47" i="28"/>
  <c r="F47" i="29"/>
  <c r="E47" i="26"/>
  <c r="D47" i="26"/>
  <c r="D47" i="27"/>
  <c r="D47" i="28"/>
  <c r="D47" i="29"/>
  <c r="C47" i="26"/>
  <c r="B47" i="26"/>
  <c r="R46" i="26"/>
  <c r="Q46" i="26"/>
  <c r="Q46" i="27"/>
  <c r="Q46" i="28"/>
  <c r="Q46" i="29"/>
  <c r="P46" i="26"/>
  <c r="O46" i="26"/>
  <c r="O46" i="27"/>
  <c r="O46" i="28"/>
  <c r="O46" i="29"/>
  <c r="N46" i="26"/>
  <c r="N46" i="27"/>
  <c r="N46" i="28"/>
  <c r="N46" i="29"/>
  <c r="M46" i="26"/>
  <c r="M46" i="27"/>
  <c r="M46" i="28"/>
  <c r="M46" i="29"/>
  <c r="L46" i="26"/>
  <c r="K46" i="26"/>
  <c r="K46" i="27"/>
  <c r="K46" i="28"/>
  <c r="K46" i="29"/>
  <c r="J46" i="26"/>
  <c r="I46" i="26"/>
  <c r="I46" i="27"/>
  <c r="I46" i="28"/>
  <c r="I46" i="29"/>
  <c r="H46" i="26"/>
  <c r="G46" i="26"/>
  <c r="G46" i="27"/>
  <c r="G46" i="28"/>
  <c r="G46" i="29"/>
  <c r="F46" i="26"/>
  <c r="F46" i="27"/>
  <c r="F46" i="28"/>
  <c r="F46" i="29"/>
  <c r="E46" i="26"/>
  <c r="D46" i="26"/>
  <c r="C46" i="26"/>
  <c r="B46" i="26"/>
  <c r="R48" i="27"/>
  <c r="R48" i="28"/>
  <c r="R48" i="29"/>
  <c r="N48" i="27"/>
  <c r="N48" i="28"/>
  <c r="N48" i="29"/>
  <c r="L48" i="27"/>
  <c r="L48" i="28"/>
  <c r="L48" i="29"/>
  <c r="J48" i="27"/>
  <c r="J48" i="28"/>
  <c r="J48" i="29"/>
  <c r="F48" i="27"/>
  <c r="F48" i="28"/>
  <c r="F48" i="29"/>
  <c r="D48" i="27"/>
  <c r="D48" i="28"/>
  <c r="D48" i="29"/>
  <c r="C48" i="27"/>
  <c r="B48" i="27"/>
  <c r="O47" i="27"/>
  <c r="O47" i="28"/>
  <c r="O47" i="29"/>
  <c r="M47" i="27"/>
  <c r="M47" i="28"/>
  <c r="M47" i="29"/>
  <c r="K47" i="27"/>
  <c r="K47" i="28"/>
  <c r="K47" i="29"/>
  <c r="G47" i="27"/>
  <c r="G47" i="28"/>
  <c r="G47" i="29"/>
  <c r="E47" i="27"/>
  <c r="C47" i="27"/>
  <c r="B47" i="27"/>
  <c r="R46" i="27"/>
  <c r="R46" i="28"/>
  <c r="R46" i="29"/>
  <c r="P46" i="27"/>
  <c r="P46" i="28"/>
  <c r="P46" i="29"/>
  <c r="L46" i="27"/>
  <c r="L46" i="28"/>
  <c r="L46" i="29"/>
  <c r="J46" i="27"/>
  <c r="J46" i="28"/>
  <c r="J46" i="29"/>
  <c r="H46" i="27"/>
  <c r="H46" i="28"/>
  <c r="H46" i="29"/>
  <c r="D46" i="27"/>
  <c r="D46" i="28"/>
  <c r="D46" i="29"/>
  <c r="C46" i="27"/>
  <c r="B46" i="27"/>
  <c r="C48" i="28"/>
  <c r="B48" i="28"/>
  <c r="C47" i="28"/>
  <c r="B47" i="28"/>
  <c r="C46" i="28"/>
  <c r="B46" i="28"/>
  <c r="C48" i="29"/>
  <c r="B48" i="29"/>
  <c r="C47" i="29"/>
  <c r="B47" i="29"/>
  <c r="C46" i="29"/>
  <c r="B46" i="29"/>
  <c r="R21" i="26"/>
  <c r="R21" i="27"/>
  <c r="R21" i="28"/>
  <c r="R21" i="29"/>
  <c r="Q21" i="26"/>
  <c r="Q21" i="27"/>
  <c r="Q21" i="28"/>
  <c r="Q21" i="29"/>
  <c r="P21" i="26"/>
  <c r="P21" i="27"/>
  <c r="P21" i="28"/>
  <c r="P21" i="29"/>
  <c r="O21" i="26"/>
  <c r="O21" i="27"/>
  <c r="O21" i="28"/>
  <c r="O21" i="29"/>
  <c r="N21" i="26"/>
  <c r="N21" i="27"/>
  <c r="N21" i="28"/>
  <c r="N21" i="29"/>
  <c r="M21" i="26"/>
  <c r="M21" i="27"/>
  <c r="M21" i="28"/>
  <c r="M21" i="29"/>
  <c r="L21" i="26"/>
  <c r="L21" i="27"/>
  <c r="L21" i="28"/>
  <c r="L21" i="29"/>
  <c r="K21" i="26"/>
  <c r="K21" i="27"/>
  <c r="K21" i="28"/>
  <c r="K21" i="29"/>
  <c r="J21" i="26"/>
  <c r="J21" i="27"/>
  <c r="J21" i="28"/>
  <c r="J21" i="29"/>
  <c r="I21" i="26"/>
  <c r="I21" i="27"/>
  <c r="I21" i="28"/>
  <c r="I21" i="29"/>
  <c r="H21" i="26"/>
  <c r="H21" i="27"/>
  <c r="H21" i="28"/>
  <c r="H21" i="29"/>
  <c r="G21" i="26"/>
  <c r="G21" i="27"/>
  <c r="G21" i="28"/>
  <c r="G21" i="29"/>
  <c r="F21" i="26"/>
  <c r="F21" i="27"/>
  <c r="F21" i="28"/>
  <c r="F21" i="29"/>
  <c r="E21" i="26"/>
  <c r="E21" i="27"/>
  <c r="E21" i="28"/>
  <c r="E21" i="29"/>
  <c r="D21" i="26"/>
  <c r="D21" i="27"/>
  <c r="D21" i="28"/>
  <c r="D21" i="29"/>
  <c r="C21" i="17"/>
  <c r="B21" i="17"/>
  <c r="C21" i="26"/>
  <c r="B21" i="26"/>
  <c r="C21" i="27"/>
  <c r="B21" i="27"/>
  <c r="C21" i="28"/>
  <c r="B21" i="28"/>
  <c r="C21" i="29"/>
  <c r="B21" i="29"/>
  <c r="R49" i="19"/>
  <c r="Q49" i="19"/>
  <c r="P49" i="19"/>
  <c r="O49" i="19"/>
  <c r="N49" i="19"/>
  <c r="M49" i="19"/>
  <c r="L49" i="19"/>
  <c r="K49" i="19"/>
  <c r="J49" i="19"/>
  <c r="I49" i="19"/>
  <c r="H49" i="19"/>
  <c r="G49" i="19"/>
  <c r="F49" i="19"/>
  <c r="E49" i="19"/>
  <c r="D49" i="19"/>
  <c r="C49" i="19"/>
  <c r="B49" i="19"/>
  <c r="R48" i="19"/>
  <c r="Q48" i="19"/>
  <c r="P48" i="19"/>
  <c r="O48" i="19"/>
  <c r="N48" i="19"/>
  <c r="M48" i="19"/>
  <c r="L48" i="19"/>
  <c r="K48" i="19"/>
  <c r="J48" i="19"/>
  <c r="I48" i="19"/>
  <c r="H48" i="19"/>
  <c r="G48" i="19"/>
  <c r="F48" i="19"/>
  <c r="E48" i="19"/>
  <c r="D48" i="19"/>
  <c r="C48" i="19"/>
  <c r="B48" i="19"/>
  <c r="R47" i="19"/>
  <c r="Q47" i="19"/>
  <c r="P47" i="19"/>
  <c r="O47" i="19"/>
  <c r="N47" i="19"/>
  <c r="M47" i="19"/>
  <c r="L47" i="19"/>
  <c r="K47" i="19"/>
  <c r="J47" i="19"/>
  <c r="I47" i="19"/>
  <c r="H47" i="19"/>
  <c r="G47" i="19"/>
  <c r="F47" i="19"/>
  <c r="E47" i="19"/>
  <c r="D47" i="19"/>
  <c r="C47" i="19"/>
  <c r="B47" i="19"/>
  <c r="R49" i="26"/>
  <c r="R46" i="19"/>
  <c r="Q49" i="26"/>
  <c r="Q46" i="19"/>
  <c r="P49" i="26"/>
  <c r="P46" i="19"/>
  <c r="O49" i="26"/>
  <c r="O46" i="19"/>
  <c r="N49" i="26"/>
  <c r="N46" i="19"/>
  <c r="M49" i="26"/>
  <c r="M46" i="19"/>
  <c r="L49" i="26"/>
  <c r="L46" i="19"/>
  <c r="K49" i="26"/>
  <c r="K46" i="19"/>
  <c r="J49" i="26"/>
  <c r="J46" i="19"/>
  <c r="I49" i="26"/>
  <c r="I46" i="19"/>
  <c r="H49" i="26"/>
  <c r="H46" i="19"/>
  <c r="G49" i="26"/>
  <c r="G46" i="19"/>
  <c r="D49" i="26"/>
  <c r="D46" i="19"/>
  <c r="E49" i="26"/>
  <c r="E46" i="19"/>
  <c r="F49" i="26"/>
  <c r="F46" i="19"/>
  <c r="S46" i="19"/>
  <c r="C46" i="19"/>
  <c r="B46" i="19"/>
  <c r="R49" i="20"/>
  <c r="Q49" i="20"/>
  <c r="P49" i="20"/>
  <c r="O49" i="20"/>
  <c r="N49" i="20"/>
  <c r="M49" i="20"/>
  <c r="L49" i="20"/>
  <c r="K49" i="20"/>
  <c r="J49" i="20"/>
  <c r="I49" i="20"/>
  <c r="H49" i="20"/>
  <c r="G49" i="20"/>
  <c r="F49" i="20"/>
  <c r="E49" i="20"/>
  <c r="D49" i="20"/>
  <c r="C49" i="20"/>
  <c r="B49" i="20"/>
  <c r="R48" i="20"/>
  <c r="Q48" i="20"/>
  <c r="P48" i="20"/>
  <c r="O48" i="20"/>
  <c r="N48" i="20"/>
  <c r="M48" i="20"/>
  <c r="L48" i="20"/>
  <c r="K48" i="20"/>
  <c r="J48" i="20"/>
  <c r="I48" i="20"/>
  <c r="H48" i="20"/>
  <c r="G48" i="20"/>
  <c r="F48" i="20"/>
  <c r="E48" i="20"/>
  <c r="D48" i="20"/>
  <c r="C48" i="20"/>
  <c r="B48" i="20"/>
  <c r="R47" i="20"/>
  <c r="Q47" i="20"/>
  <c r="P47" i="20"/>
  <c r="O47" i="20"/>
  <c r="N47" i="20"/>
  <c r="M47" i="20"/>
  <c r="L47" i="20"/>
  <c r="K47" i="20"/>
  <c r="J47" i="20"/>
  <c r="I47" i="20"/>
  <c r="H47" i="20"/>
  <c r="G47" i="20"/>
  <c r="F47" i="20"/>
  <c r="E47" i="20"/>
  <c r="D47" i="20"/>
  <c r="S47" i="20"/>
  <c r="C47" i="20"/>
  <c r="B47" i="20"/>
  <c r="R49" i="27"/>
  <c r="R46" i="20"/>
  <c r="Q49" i="27"/>
  <c r="Q46" i="20"/>
  <c r="P49" i="27"/>
  <c r="P46" i="20"/>
  <c r="O49" i="27"/>
  <c r="O46" i="20"/>
  <c r="O44" i="20"/>
  <c r="N49" i="27"/>
  <c r="N46" i="20"/>
  <c r="M49" i="27"/>
  <c r="M46" i="20"/>
  <c r="L49" i="27"/>
  <c r="L46" i="20"/>
  <c r="K49" i="27"/>
  <c r="K46" i="20"/>
  <c r="K44" i="20"/>
  <c r="J49" i="27"/>
  <c r="J46" i="20"/>
  <c r="I49" i="27"/>
  <c r="I46" i="20"/>
  <c r="H49" i="27"/>
  <c r="H46" i="20"/>
  <c r="G49" i="27"/>
  <c r="G46" i="20"/>
  <c r="G42" i="20"/>
  <c r="G43" i="20"/>
  <c r="G37" i="20"/>
  <c r="G38" i="20"/>
  <c r="G39" i="20"/>
  <c r="G40" i="20"/>
  <c r="G45" i="20"/>
  <c r="F49" i="27"/>
  <c r="F46" i="20"/>
  <c r="E49" i="27"/>
  <c r="E46" i="20"/>
  <c r="D49" i="27"/>
  <c r="D46" i="20"/>
  <c r="C46" i="20"/>
  <c r="B46" i="20"/>
  <c r="R49" i="21"/>
  <c r="Q49" i="21"/>
  <c r="P49" i="21"/>
  <c r="O49" i="21"/>
  <c r="N49" i="21"/>
  <c r="M49" i="21"/>
  <c r="L49" i="21"/>
  <c r="K49" i="21"/>
  <c r="J49" i="21"/>
  <c r="I49" i="21"/>
  <c r="H49" i="21"/>
  <c r="G49" i="21"/>
  <c r="F49" i="21"/>
  <c r="E49" i="21"/>
  <c r="D49" i="21"/>
  <c r="C49" i="21"/>
  <c r="B49" i="21"/>
  <c r="R48" i="21"/>
  <c r="Q48" i="21"/>
  <c r="P48" i="21"/>
  <c r="O48" i="21"/>
  <c r="N48" i="21"/>
  <c r="M48" i="21"/>
  <c r="L48" i="21"/>
  <c r="K48" i="21"/>
  <c r="J48" i="21"/>
  <c r="I48" i="21"/>
  <c r="H48" i="21"/>
  <c r="G48" i="21"/>
  <c r="F48" i="21"/>
  <c r="E48" i="21"/>
  <c r="D48" i="21"/>
  <c r="C48" i="21"/>
  <c r="B48" i="21"/>
  <c r="R47" i="21"/>
  <c r="Q47" i="21"/>
  <c r="P47" i="21"/>
  <c r="O47" i="21"/>
  <c r="N47" i="21"/>
  <c r="M47" i="21"/>
  <c r="L47" i="21"/>
  <c r="K47" i="21"/>
  <c r="J47" i="21"/>
  <c r="I47" i="21"/>
  <c r="H47" i="21"/>
  <c r="G47" i="21"/>
  <c r="F47" i="21"/>
  <c r="E47" i="21"/>
  <c r="D47" i="21"/>
  <c r="S47" i="21"/>
  <c r="C47" i="21"/>
  <c r="B47" i="21"/>
  <c r="R49" i="28"/>
  <c r="Q49" i="28"/>
  <c r="Q46" i="21"/>
  <c r="P49" i="28"/>
  <c r="O49" i="28"/>
  <c r="O46" i="21"/>
  <c r="N49" i="28"/>
  <c r="M49" i="28"/>
  <c r="M46" i="21"/>
  <c r="L49" i="28"/>
  <c r="K49" i="28"/>
  <c r="K46" i="21"/>
  <c r="J49" i="28"/>
  <c r="I49" i="28"/>
  <c r="I46" i="21"/>
  <c r="H49" i="28"/>
  <c r="G49" i="28"/>
  <c r="G46" i="21"/>
  <c r="F49" i="28"/>
  <c r="E49" i="28"/>
  <c r="E46" i="21"/>
  <c r="D49" i="28"/>
  <c r="C46" i="21"/>
  <c r="B46" i="21"/>
  <c r="R49" i="22"/>
  <c r="Q49" i="22"/>
  <c r="P49" i="22"/>
  <c r="O49" i="22"/>
  <c r="N49" i="22"/>
  <c r="M49" i="22"/>
  <c r="L49" i="22"/>
  <c r="K49" i="22"/>
  <c r="J49" i="22"/>
  <c r="I49" i="22"/>
  <c r="H49" i="22"/>
  <c r="G49" i="22"/>
  <c r="F49" i="22"/>
  <c r="E49" i="22"/>
  <c r="D49" i="22"/>
  <c r="C49" i="22"/>
  <c r="B49" i="22"/>
  <c r="R48" i="22"/>
  <c r="Q48" i="22"/>
  <c r="P48" i="22"/>
  <c r="O48" i="22"/>
  <c r="N48" i="22"/>
  <c r="M48" i="22"/>
  <c r="L48" i="22"/>
  <c r="K48" i="22"/>
  <c r="J48" i="22"/>
  <c r="I48" i="22"/>
  <c r="H48" i="22"/>
  <c r="G48" i="22"/>
  <c r="F48" i="22"/>
  <c r="E48" i="22"/>
  <c r="D48" i="22"/>
  <c r="C48" i="22"/>
  <c r="B48" i="22"/>
  <c r="R47" i="22"/>
  <c r="Q47" i="22"/>
  <c r="P47" i="22"/>
  <c r="O47" i="22"/>
  <c r="N47" i="22"/>
  <c r="M47" i="22"/>
  <c r="L47" i="22"/>
  <c r="K47" i="22"/>
  <c r="J47" i="22"/>
  <c r="I47" i="22"/>
  <c r="H47" i="22"/>
  <c r="G47" i="22"/>
  <c r="F47" i="22"/>
  <c r="E47" i="22"/>
  <c r="D47" i="22"/>
  <c r="C47" i="22"/>
  <c r="B47" i="22"/>
  <c r="R49" i="29"/>
  <c r="R46" i="22"/>
  <c r="Q49" i="29"/>
  <c r="Q46" i="22"/>
  <c r="P49" i="29"/>
  <c r="P46" i="22"/>
  <c r="O49" i="29"/>
  <c r="O46" i="22"/>
  <c r="N49" i="29"/>
  <c r="N46" i="22"/>
  <c r="M49" i="29"/>
  <c r="M46" i="22"/>
  <c r="L49" i="29"/>
  <c r="L46" i="22"/>
  <c r="K49" i="29"/>
  <c r="K46" i="22"/>
  <c r="J49" i="29"/>
  <c r="J46" i="22"/>
  <c r="I49" i="29"/>
  <c r="I46" i="22"/>
  <c r="H49" i="29"/>
  <c r="H46" i="22"/>
  <c r="G49" i="29"/>
  <c r="G46" i="22"/>
  <c r="F49" i="29"/>
  <c r="F46" i="22"/>
  <c r="E49" i="29"/>
  <c r="E46" i="22"/>
  <c r="D49" i="29"/>
  <c r="D46" i="22"/>
  <c r="C46" i="22"/>
  <c r="B46" i="22"/>
  <c r="C21" i="19"/>
  <c r="B21" i="19"/>
  <c r="C21" i="20"/>
  <c r="B21" i="20"/>
  <c r="C21" i="21"/>
  <c r="B21" i="21"/>
  <c r="C21" i="22"/>
  <c r="B21" i="22"/>
  <c r="S106" i="17"/>
  <c r="S105" i="17"/>
  <c r="S104" i="17"/>
  <c r="S103" i="17"/>
  <c r="S102" i="17"/>
  <c r="S101" i="17"/>
  <c r="S100" i="17"/>
  <c r="S99" i="17"/>
  <c r="S98" i="17"/>
  <c r="S97" i="17"/>
  <c r="R106" i="26"/>
  <c r="Q106" i="26"/>
  <c r="Q106" i="27"/>
  <c r="Q106" i="28"/>
  <c r="Q106" i="29"/>
  <c r="P106" i="26"/>
  <c r="P106" i="27"/>
  <c r="P106" i="28"/>
  <c r="P106" i="29"/>
  <c r="O106" i="26"/>
  <c r="N106" i="26"/>
  <c r="M106" i="26"/>
  <c r="M106" i="27"/>
  <c r="M106" i="28"/>
  <c r="M106" i="29"/>
  <c r="L106" i="26"/>
  <c r="L106" i="27"/>
  <c r="L106" i="28"/>
  <c r="L106" i="29"/>
  <c r="K106" i="26"/>
  <c r="J106" i="26"/>
  <c r="I106" i="26"/>
  <c r="I106" i="27"/>
  <c r="I106" i="28"/>
  <c r="I106" i="29"/>
  <c r="H106" i="26"/>
  <c r="H106" i="27"/>
  <c r="H106" i="28"/>
  <c r="H106" i="29"/>
  <c r="G106" i="26"/>
  <c r="F106" i="26"/>
  <c r="E106" i="26"/>
  <c r="E106" i="27"/>
  <c r="E106" i="28"/>
  <c r="E106" i="29"/>
  <c r="D106" i="26"/>
  <c r="D106" i="27"/>
  <c r="D106" i="28"/>
  <c r="D106" i="29"/>
  <c r="R105" i="26"/>
  <c r="Q105" i="26"/>
  <c r="P105" i="26"/>
  <c r="P105" i="27"/>
  <c r="P105" i="28"/>
  <c r="P105" i="29"/>
  <c r="O105" i="26"/>
  <c r="O105" i="27"/>
  <c r="O105" i="28"/>
  <c r="O105" i="29"/>
  <c r="N105" i="26"/>
  <c r="M105" i="26"/>
  <c r="L105" i="26"/>
  <c r="L105" i="27"/>
  <c r="L105" i="28"/>
  <c r="L105" i="29"/>
  <c r="K105" i="26"/>
  <c r="K105" i="27"/>
  <c r="K105" i="28"/>
  <c r="K105" i="29"/>
  <c r="J105" i="26"/>
  <c r="I105" i="26"/>
  <c r="H105" i="26"/>
  <c r="H105" i="27"/>
  <c r="H105" i="28"/>
  <c r="H105" i="29"/>
  <c r="G105" i="26"/>
  <c r="G105" i="27"/>
  <c r="G105" i="28"/>
  <c r="G105" i="29"/>
  <c r="F105" i="26"/>
  <c r="E105" i="26"/>
  <c r="D105" i="26"/>
  <c r="D105" i="27"/>
  <c r="D105" i="28"/>
  <c r="D105" i="29"/>
  <c r="R104" i="26"/>
  <c r="R104" i="27"/>
  <c r="R104" i="28"/>
  <c r="R104" i="29"/>
  <c r="Q104" i="26"/>
  <c r="P104" i="26"/>
  <c r="O104" i="26"/>
  <c r="O104" i="27"/>
  <c r="O104" i="28"/>
  <c r="O104" i="29"/>
  <c r="N104" i="26"/>
  <c r="N104" i="27"/>
  <c r="N104" i="28"/>
  <c r="N104" i="29"/>
  <c r="M104" i="26"/>
  <c r="L104" i="26"/>
  <c r="K104" i="26"/>
  <c r="K104" i="27"/>
  <c r="K104" i="28"/>
  <c r="K104" i="29"/>
  <c r="J104" i="26"/>
  <c r="J104" i="27"/>
  <c r="J104" i="28"/>
  <c r="J104" i="29"/>
  <c r="I104" i="26"/>
  <c r="H104" i="26"/>
  <c r="G104" i="26"/>
  <c r="G104" i="27"/>
  <c r="G104" i="28"/>
  <c r="G104" i="29"/>
  <c r="F104" i="26"/>
  <c r="F104" i="27"/>
  <c r="F104" i="28"/>
  <c r="F104" i="29"/>
  <c r="E104" i="26"/>
  <c r="D104" i="26"/>
  <c r="R103" i="26"/>
  <c r="R103" i="27"/>
  <c r="R103" i="28"/>
  <c r="R103" i="29"/>
  <c r="Q103" i="26"/>
  <c r="Q103" i="27"/>
  <c r="Q103" i="28"/>
  <c r="Q103" i="29"/>
  <c r="P103" i="26"/>
  <c r="O103" i="26"/>
  <c r="N103" i="26"/>
  <c r="N103" i="27"/>
  <c r="N103" i="28"/>
  <c r="N103" i="29"/>
  <c r="M103" i="26"/>
  <c r="M103" i="27"/>
  <c r="M103" i="28"/>
  <c r="M103" i="29"/>
  <c r="L103" i="26"/>
  <c r="K103" i="26"/>
  <c r="J103" i="26"/>
  <c r="J103" i="27"/>
  <c r="J103" i="28"/>
  <c r="J103" i="29"/>
  <c r="I103" i="26"/>
  <c r="I103" i="27"/>
  <c r="I103" i="28"/>
  <c r="I103" i="29"/>
  <c r="H103" i="26"/>
  <c r="G103" i="26"/>
  <c r="F103" i="26"/>
  <c r="F103" i="27"/>
  <c r="F103" i="28"/>
  <c r="F103" i="29"/>
  <c r="E103" i="26"/>
  <c r="E103" i="27"/>
  <c r="E103" i="28"/>
  <c r="E103" i="29"/>
  <c r="D103" i="26"/>
  <c r="R102" i="26"/>
  <c r="Q102" i="26"/>
  <c r="Q102" i="27"/>
  <c r="Q102" i="28"/>
  <c r="Q102" i="29"/>
  <c r="P102" i="26"/>
  <c r="P102" i="27"/>
  <c r="P102" i="28"/>
  <c r="P102" i="29"/>
  <c r="O102" i="26"/>
  <c r="N102" i="26"/>
  <c r="M102" i="26"/>
  <c r="M102" i="27"/>
  <c r="M102" i="28"/>
  <c r="M102" i="29"/>
  <c r="L102" i="26"/>
  <c r="L102" i="27"/>
  <c r="L102" i="28"/>
  <c r="L102" i="29"/>
  <c r="K102" i="26"/>
  <c r="J102" i="26"/>
  <c r="I102" i="26"/>
  <c r="I102" i="27"/>
  <c r="I102" i="28"/>
  <c r="I102" i="29"/>
  <c r="H102" i="26"/>
  <c r="H102" i="27"/>
  <c r="H102" i="28"/>
  <c r="H102" i="29"/>
  <c r="G102" i="26"/>
  <c r="F102" i="26"/>
  <c r="E102" i="26"/>
  <c r="E102" i="27"/>
  <c r="E102" i="28"/>
  <c r="E102" i="29"/>
  <c r="D102" i="26"/>
  <c r="D102" i="27"/>
  <c r="D102" i="28"/>
  <c r="D102" i="29"/>
  <c r="R101" i="26"/>
  <c r="Q101" i="26"/>
  <c r="P101" i="26"/>
  <c r="P101" i="27"/>
  <c r="P101" i="28"/>
  <c r="P101" i="29"/>
  <c r="O101" i="26"/>
  <c r="O101" i="27"/>
  <c r="O101" i="28"/>
  <c r="O101" i="29"/>
  <c r="N101" i="26"/>
  <c r="M101" i="26"/>
  <c r="L101" i="26"/>
  <c r="L101" i="27"/>
  <c r="L101" i="28"/>
  <c r="L101" i="29"/>
  <c r="K101" i="26"/>
  <c r="K101" i="27"/>
  <c r="K101" i="28"/>
  <c r="K101" i="29"/>
  <c r="J101" i="26"/>
  <c r="I101" i="26"/>
  <c r="I101" i="27"/>
  <c r="I101" i="28"/>
  <c r="I101" i="29"/>
  <c r="H101" i="26"/>
  <c r="H101" i="27"/>
  <c r="H101" i="28"/>
  <c r="H101" i="29"/>
  <c r="G101" i="26"/>
  <c r="G101" i="27"/>
  <c r="G101" i="28"/>
  <c r="G101" i="29"/>
  <c r="F101" i="26"/>
  <c r="F101" i="27"/>
  <c r="F101" i="28"/>
  <c r="F101" i="29"/>
  <c r="E101" i="26"/>
  <c r="E101" i="27"/>
  <c r="D101" i="26"/>
  <c r="D101" i="27"/>
  <c r="D101" i="28"/>
  <c r="D101" i="29"/>
  <c r="R100" i="26"/>
  <c r="R100" i="27"/>
  <c r="R100" i="28"/>
  <c r="R100" i="29"/>
  <c r="Q100" i="26"/>
  <c r="Q100" i="27"/>
  <c r="Q100" i="28"/>
  <c r="Q100" i="29"/>
  <c r="P100" i="26"/>
  <c r="P100" i="27"/>
  <c r="P100" i="28"/>
  <c r="P100" i="29"/>
  <c r="O100" i="26"/>
  <c r="O100" i="27"/>
  <c r="O100" i="28"/>
  <c r="O100" i="29"/>
  <c r="N100" i="26"/>
  <c r="N100" i="27"/>
  <c r="N100" i="28"/>
  <c r="N100" i="29"/>
  <c r="M100" i="26"/>
  <c r="M100" i="27"/>
  <c r="M100" i="28"/>
  <c r="M100" i="29"/>
  <c r="L100" i="26"/>
  <c r="L100" i="27"/>
  <c r="K100" i="26"/>
  <c r="K100" i="27"/>
  <c r="K100" i="28"/>
  <c r="K100" i="29"/>
  <c r="J100" i="26"/>
  <c r="J100" i="27"/>
  <c r="J100" i="28"/>
  <c r="J100" i="29"/>
  <c r="I100" i="26"/>
  <c r="I100" i="27"/>
  <c r="I100" i="28"/>
  <c r="I100" i="29"/>
  <c r="H100" i="26"/>
  <c r="H100" i="27"/>
  <c r="H100" i="28"/>
  <c r="H100" i="29"/>
  <c r="G100" i="26"/>
  <c r="G100" i="27"/>
  <c r="G100" i="28"/>
  <c r="G100" i="29"/>
  <c r="F100" i="26"/>
  <c r="F100" i="27"/>
  <c r="F100" i="28"/>
  <c r="F100" i="29"/>
  <c r="E100" i="26"/>
  <c r="E100" i="27"/>
  <c r="E100" i="28"/>
  <c r="E100" i="29"/>
  <c r="D100" i="26"/>
  <c r="D100" i="27"/>
  <c r="R99" i="26"/>
  <c r="R99" i="27"/>
  <c r="R99" i="28"/>
  <c r="R99" i="29"/>
  <c r="Q99" i="26"/>
  <c r="Q99" i="27"/>
  <c r="Q99" i="28"/>
  <c r="Q99" i="29"/>
  <c r="P99" i="26"/>
  <c r="P99" i="27"/>
  <c r="P99" i="28"/>
  <c r="P99" i="29"/>
  <c r="O99" i="26"/>
  <c r="O99" i="27"/>
  <c r="O99" i="28"/>
  <c r="O99" i="29"/>
  <c r="N99" i="26"/>
  <c r="N99" i="27"/>
  <c r="N99" i="28"/>
  <c r="N99" i="29"/>
  <c r="M99" i="26"/>
  <c r="M99" i="27"/>
  <c r="M99" i="28"/>
  <c r="M99" i="29"/>
  <c r="L99" i="26"/>
  <c r="L99" i="27"/>
  <c r="L99" i="28"/>
  <c r="L99" i="29"/>
  <c r="K99" i="26"/>
  <c r="K99" i="27"/>
  <c r="K99" i="28"/>
  <c r="K99" i="29"/>
  <c r="J99" i="26"/>
  <c r="J99" i="27"/>
  <c r="J99" i="28"/>
  <c r="J99" i="29"/>
  <c r="I99" i="26"/>
  <c r="I99" i="27"/>
  <c r="I99" i="28"/>
  <c r="I99" i="29"/>
  <c r="H99" i="26"/>
  <c r="H99" i="27"/>
  <c r="H99" i="28"/>
  <c r="H99" i="29"/>
  <c r="G99" i="26"/>
  <c r="G99" i="27"/>
  <c r="G99" i="28"/>
  <c r="G99" i="29"/>
  <c r="F99" i="26"/>
  <c r="F99" i="27"/>
  <c r="F99" i="28"/>
  <c r="F99" i="29"/>
  <c r="E99" i="26"/>
  <c r="E99" i="27"/>
  <c r="E99" i="28"/>
  <c r="E99" i="29"/>
  <c r="D99" i="26"/>
  <c r="D99" i="27"/>
  <c r="D99" i="28"/>
  <c r="D99" i="29"/>
  <c r="R98" i="26"/>
  <c r="R98" i="27"/>
  <c r="Q98" i="26"/>
  <c r="Q98" i="27"/>
  <c r="Q98" i="28"/>
  <c r="Q98" i="29"/>
  <c r="P98" i="26"/>
  <c r="P98" i="27"/>
  <c r="P98" i="28"/>
  <c r="P98" i="29"/>
  <c r="O98" i="26"/>
  <c r="O98" i="27"/>
  <c r="O98" i="28"/>
  <c r="O98" i="29"/>
  <c r="N98" i="26"/>
  <c r="N98" i="27"/>
  <c r="N98" i="28"/>
  <c r="N98" i="29"/>
  <c r="M98" i="26"/>
  <c r="M98" i="27"/>
  <c r="M98" i="28"/>
  <c r="M98" i="29"/>
  <c r="L98" i="26"/>
  <c r="L98" i="27"/>
  <c r="L98" i="28"/>
  <c r="L98" i="29"/>
  <c r="K98" i="26"/>
  <c r="K98" i="27"/>
  <c r="K98" i="28"/>
  <c r="K98" i="29"/>
  <c r="J98" i="26"/>
  <c r="J98" i="27"/>
  <c r="I98" i="26"/>
  <c r="I98" i="27"/>
  <c r="I98" i="28"/>
  <c r="I98" i="29"/>
  <c r="H98" i="26"/>
  <c r="H98" i="27"/>
  <c r="H98" i="28"/>
  <c r="H98" i="29"/>
  <c r="G98" i="26"/>
  <c r="G98" i="27"/>
  <c r="G98" i="28"/>
  <c r="G98" i="29"/>
  <c r="F98" i="26"/>
  <c r="F98" i="27"/>
  <c r="F98" i="28"/>
  <c r="F98" i="29"/>
  <c r="E98" i="26"/>
  <c r="E98" i="27"/>
  <c r="E98" i="28"/>
  <c r="E98" i="29"/>
  <c r="D98" i="26"/>
  <c r="D98" i="27"/>
  <c r="D98" i="28"/>
  <c r="D98" i="29"/>
  <c r="R97" i="26"/>
  <c r="R97" i="27"/>
  <c r="R97" i="28"/>
  <c r="R97" i="29"/>
  <c r="Q97" i="26"/>
  <c r="Q97" i="27"/>
  <c r="P97" i="26"/>
  <c r="P97" i="27"/>
  <c r="P97" i="28"/>
  <c r="P97" i="29"/>
  <c r="O97" i="26"/>
  <c r="O97" i="27"/>
  <c r="O97" i="28"/>
  <c r="O97" i="29"/>
  <c r="N97" i="26"/>
  <c r="N97" i="27"/>
  <c r="N97" i="28"/>
  <c r="N97" i="29"/>
  <c r="M97" i="26"/>
  <c r="M97" i="27"/>
  <c r="M97" i="28"/>
  <c r="M97" i="29"/>
  <c r="L97" i="26"/>
  <c r="L97" i="27"/>
  <c r="L97" i="28"/>
  <c r="L97" i="29"/>
  <c r="K97" i="26"/>
  <c r="K97" i="27"/>
  <c r="K97" i="28"/>
  <c r="K97" i="29"/>
  <c r="J97" i="26"/>
  <c r="J97" i="27"/>
  <c r="J97" i="28"/>
  <c r="J97" i="29"/>
  <c r="I97" i="26"/>
  <c r="I97" i="27"/>
  <c r="I97" i="28"/>
  <c r="I97" i="29"/>
  <c r="H97" i="26"/>
  <c r="H97" i="27"/>
  <c r="H97" i="28"/>
  <c r="H97" i="29"/>
  <c r="G97" i="26"/>
  <c r="G97" i="27"/>
  <c r="G97" i="28"/>
  <c r="G97" i="29"/>
  <c r="F97" i="26"/>
  <c r="F97" i="27"/>
  <c r="F97" i="28"/>
  <c r="F97" i="29"/>
  <c r="E97" i="26"/>
  <c r="E97" i="27"/>
  <c r="E97" i="28"/>
  <c r="E97" i="29"/>
  <c r="D97" i="26"/>
  <c r="D97" i="27"/>
  <c r="D97" i="28"/>
  <c r="R106" i="27"/>
  <c r="R106" i="28"/>
  <c r="R106" i="29"/>
  <c r="O106" i="27"/>
  <c r="O106" i="28"/>
  <c r="O106" i="29"/>
  <c r="N106" i="27"/>
  <c r="N106" i="28"/>
  <c r="N106" i="29"/>
  <c r="K106" i="27"/>
  <c r="K106" i="28"/>
  <c r="K106" i="29"/>
  <c r="J106" i="27"/>
  <c r="J106" i="28"/>
  <c r="J106" i="29"/>
  <c r="G106" i="27"/>
  <c r="G106" i="28"/>
  <c r="G106" i="29"/>
  <c r="F106" i="27"/>
  <c r="F106" i="28"/>
  <c r="F106" i="29"/>
  <c r="R105" i="27"/>
  <c r="R105" i="28"/>
  <c r="R105" i="29"/>
  <c r="Q105" i="27"/>
  <c r="Q105" i="28"/>
  <c r="Q105" i="29"/>
  <c r="N105" i="27"/>
  <c r="N105" i="28"/>
  <c r="N105" i="29"/>
  <c r="M105" i="27"/>
  <c r="M105" i="28"/>
  <c r="M105" i="29"/>
  <c r="J105" i="27"/>
  <c r="J105" i="28"/>
  <c r="J105" i="29"/>
  <c r="I105" i="27"/>
  <c r="I105" i="28"/>
  <c r="I105" i="29"/>
  <c r="F105" i="27"/>
  <c r="F105" i="28"/>
  <c r="F105" i="29"/>
  <c r="E105" i="27"/>
  <c r="E105" i="28"/>
  <c r="E105" i="29"/>
  <c r="Q104" i="27"/>
  <c r="Q104" i="28"/>
  <c r="Q104" i="29"/>
  <c r="P104" i="27"/>
  <c r="P104" i="28"/>
  <c r="P104" i="29"/>
  <c r="M104" i="27"/>
  <c r="M104" i="28"/>
  <c r="M104" i="29"/>
  <c r="L104" i="27"/>
  <c r="L104" i="28"/>
  <c r="L104" i="29"/>
  <c r="I104" i="27"/>
  <c r="I104" i="28"/>
  <c r="I104" i="29"/>
  <c r="H104" i="27"/>
  <c r="H104" i="28"/>
  <c r="H104" i="29"/>
  <c r="E104" i="27"/>
  <c r="E104" i="28"/>
  <c r="E104" i="29"/>
  <c r="D104" i="27"/>
  <c r="D104" i="28"/>
  <c r="P103" i="27"/>
  <c r="P103" i="28"/>
  <c r="P103" i="29"/>
  <c r="O103" i="27"/>
  <c r="O103" i="28"/>
  <c r="O103" i="29"/>
  <c r="L103" i="27"/>
  <c r="L103" i="28"/>
  <c r="L103" i="29"/>
  <c r="K103" i="27"/>
  <c r="K103" i="28"/>
  <c r="K103" i="29"/>
  <c r="H103" i="27"/>
  <c r="H103" i="28"/>
  <c r="H103" i="29"/>
  <c r="G103" i="27"/>
  <c r="G103" i="28"/>
  <c r="G103" i="29"/>
  <c r="D103" i="27"/>
  <c r="D103" i="28"/>
  <c r="D103" i="29"/>
  <c r="R102" i="27"/>
  <c r="R102" i="28"/>
  <c r="R102" i="29"/>
  <c r="O102" i="27"/>
  <c r="O102" i="28"/>
  <c r="O102" i="29"/>
  <c r="N102" i="27"/>
  <c r="N102" i="28"/>
  <c r="N102" i="29"/>
  <c r="K102" i="27"/>
  <c r="K102" i="28"/>
  <c r="K102" i="29"/>
  <c r="J102" i="27"/>
  <c r="J102" i="28"/>
  <c r="J102" i="29"/>
  <c r="G102" i="27"/>
  <c r="G102" i="28"/>
  <c r="G102" i="29"/>
  <c r="F102" i="27"/>
  <c r="F102" i="28"/>
  <c r="F102" i="29"/>
  <c r="R101" i="27"/>
  <c r="R101" i="28"/>
  <c r="R101" i="29"/>
  <c r="Q101" i="27"/>
  <c r="Q101" i="28"/>
  <c r="Q101" i="29"/>
  <c r="N101" i="27"/>
  <c r="N101" i="28"/>
  <c r="N101" i="29"/>
  <c r="M101" i="27"/>
  <c r="M101" i="28"/>
  <c r="M101" i="29"/>
  <c r="J101" i="27"/>
  <c r="J101" i="28"/>
  <c r="J101" i="29"/>
  <c r="E101" i="28"/>
  <c r="E101" i="29"/>
  <c r="L100" i="28"/>
  <c r="L100" i="29"/>
  <c r="D100" i="28"/>
  <c r="D100" i="29"/>
  <c r="R98" i="28"/>
  <c r="R98" i="29"/>
  <c r="J98" i="28"/>
  <c r="J98" i="29"/>
  <c r="Q97" i="28"/>
  <c r="Q97" i="29"/>
  <c r="S141" i="17"/>
  <c r="S140" i="17"/>
  <c r="S139" i="17"/>
  <c r="S138" i="17"/>
  <c r="S137" i="17"/>
  <c r="S136" i="17"/>
  <c r="S135" i="17"/>
  <c r="S134" i="17"/>
  <c r="S133" i="17"/>
  <c r="R141" i="26"/>
  <c r="R141" i="27"/>
  <c r="Q141" i="26"/>
  <c r="Q141" i="27"/>
  <c r="Q141" i="28"/>
  <c r="Q141" i="29"/>
  <c r="P141" i="26"/>
  <c r="P141" i="27"/>
  <c r="P141" i="28"/>
  <c r="P141" i="29"/>
  <c r="O141" i="26"/>
  <c r="O141" i="27"/>
  <c r="O141" i="28"/>
  <c r="O141" i="29"/>
  <c r="N141" i="26"/>
  <c r="N141" i="27"/>
  <c r="N141" i="28"/>
  <c r="N141" i="29"/>
  <c r="M141" i="26"/>
  <c r="M141" i="27"/>
  <c r="M141" i="28"/>
  <c r="M141" i="29"/>
  <c r="L141" i="26"/>
  <c r="L141" i="27"/>
  <c r="L141" i="28"/>
  <c r="L141" i="29"/>
  <c r="K141" i="26"/>
  <c r="K141" i="27"/>
  <c r="K141" i="28"/>
  <c r="K141" i="29"/>
  <c r="J141" i="26"/>
  <c r="J141" i="27"/>
  <c r="I141" i="26"/>
  <c r="I141" i="27"/>
  <c r="I141" i="28"/>
  <c r="I141" i="29"/>
  <c r="H141" i="26"/>
  <c r="H141" i="27"/>
  <c r="H141" i="28"/>
  <c r="H141" i="29"/>
  <c r="G141" i="26"/>
  <c r="G141" i="27"/>
  <c r="G141" i="28"/>
  <c r="G141" i="29"/>
  <c r="F141" i="26"/>
  <c r="F141" i="27"/>
  <c r="F141" i="28"/>
  <c r="F141" i="29"/>
  <c r="E141" i="26"/>
  <c r="E141" i="27"/>
  <c r="E141" i="28"/>
  <c r="E141" i="29"/>
  <c r="D141" i="26"/>
  <c r="D141" i="27"/>
  <c r="D141" i="28"/>
  <c r="D141" i="29"/>
  <c r="R140" i="26"/>
  <c r="R140" i="27"/>
  <c r="R140" i="28"/>
  <c r="R140" i="29"/>
  <c r="Q140" i="26"/>
  <c r="Q140" i="27"/>
  <c r="Q140" i="28"/>
  <c r="Q140" i="29"/>
  <c r="P140" i="26"/>
  <c r="P140" i="27"/>
  <c r="P140" i="28"/>
  <c r="P140" i="29"/>
  <c r="O140" i="26"/>
  <c r="O140" i="27"/>
  <c r="O140" i="28"/>
  <c r="O140" i="29"/>
  <c r="N140" i="26"/>
  <c r="N140" i="27"/>
  <c r="N140" i="28"/>
  <c r="N140" i="29"/>
  <c r="M140" i="26"/>
  <c r="M140" i="27"/>
  <c r="M140" i="28"/>
  <c r="M140" i="29"/>
  <c r="L140" i="26"/>
  <c r="L140" i="27"/>
  <c r="L140" i="28"/>
  <c r="L140" i="29"/>
  <c r="K140" i="26"/>
  <c r="K140" i="27"/>
  <c r="K140" i="28"/>
  <c r="K140" i="29"/>
  <c r="J140" i="26"/>
  <c r="J140" i="27"/>
  <c r="J140" i="28"/>
  <c r="J140" i="29"/>
  <c r="I140" i="26"/>
  <c r="I140" i="27"/>
  <c r="I140" i="28"/>
  <c r="I140" i="29"/>
  <c r="H140" i="26"/>
  <c r="H140" i="27"/>
  <c r="H140" i="28"/>
  <c r="H140" i="29"/>
  <c r="G140" i="26"/>
  <c r="G140" i="27"/>
  <c r="G140" i="28"/>
  <c r="G140" i="29"/>
  <c r="F140" i="26"/>
  <c r="F140" i="27"/>
  <c r="F140" i="28"/>
  <c r="F140" i="29"/>
  <c r="E140" i="26"/>
  <c r="E140" i="27"/>
  <c r="E140" i="28"/>
  <c r="E140" i="29"/>
  <c r="D140" i="26"/>
  <c r="D140" i="27"/>
  <c r="D140" i="28"/>
  <c r="D140" i="29"/>
  <c r="R139" i="26"/>
  <c r="R139" i="27"/>
  <c r="R139" i="28"/>
  <c r="R139" i="29"/>
  <c r="Q139" i="26"/>
  <c r="Q139" i="27"/>
  <c r="Q139" i="28"/>
  <c r="Q139" i="29"/>
  <c r="P139" i="26"/>
  <c r="P139" i="27"/>
  <c r="O139" i="26"/>
  <c r="O139" i="27"/>
  <c r="O139" i="28"/>
  <c r="O139" i="29"/>
  <c r="N139" i="26"/>
  <c r="N139" i="27"/>
  <c r="N139" i="28"/>
  <c r="N139" i="29"/>
  <c r="M139" i="26"/>
  <c r="M139" i="27"/>
  <c r="M139" i="28"/>
  <c r="M139" i="29"/>
  <c r="L139" i="26"/>
  <c r="L139" i="27"/>
  <c r="L139" i="28"/>
  <c r="L139" i="29"/>
  <c r="K139" i="26"/>
  <c r="K139" i="27"/>
  <c r="K139" i="28"/>
  <c r="K139" i="29"/>
  <c r="J139" i="26"/>
  <c r="J139" i="27"/>
  <c r="J139" i="28"/>
  <c r="J139" i="29"/>
  <c r="I139" i="26"/>
  <c r="I139" i="27"/>
  <c r="I139" i="28"/>
  <c r="I139" i="29"/>
  <c r="H139" i="26"/>
  <c r="H139" i="27"/>
  <c r="G139" i="26"/>
  <c r="G139" i="27"/>
  <c r="G139" i="28"/>
  <c r="G139" i="29"/>
  <c r="F139" i="26"/>
  <c r="F139" i="27"/>
  <c r="F139" i="28"/>
  <c r="F139" i="29"/>
  <c r="E139" i="26"/>
  <c r="E139" i="27"/>
  <c r="E139" i="28"/>
  <c r="D139" i="26"/>
  <c r="D139" i="27"/>
  <c r="D139" i="28"/>
  <c r="D139" i="29"/>
  <c r="R138" i="26"/>
  <c r="R138" i="27"/>
  <c r="R138" i="28"/>
  <c r="R138" i="29"/>
  <c r="Q138" i="26"/>
  <c r="Q138" i="27"/>
  <c r="Q138" i="28"/>
  <c r="Q138" i="29"/>
  <c r="P138" i="26"/>
  <c r="P138" i="27"/>
  <c r="P138" i="28"/>
  <c r="P138" i="29"/>
  <c r="O138" i="26"/>
  <c r="O138" i="27"/>
  <c r="O138" i="28"/>
  <c r="O138" i="29"/>
  <c r="N138" i="26"/>
  <c r="N138" i="27"/>
  <c r="N138" i="28"/>
  <c r="N138" i="29"/>
  <c r="M138" i="26"/>
  <c r="M138" i="27"/>
  <c r="M138" i="28"/>
  <c r="M138" i="29"/>
  <c r="L138" i="26"/>
  <c r="L138" i="27"/>
  <c r="L138" i="28"/>
  <c r="L138" i="29"/>
  <c r="K138" i="26"/>
  <c r="K138" i="27"/>
  <c r="K138" i="28"/>
  <c r="K138" i="29"/>
  <c r="J138" i="26"/>
  <c r="J138" i="27"/>
  <c r="J138" i="28"/>
  <c r="J138" i="29"/>
  <c r="I138" i="26"/>
  <c r="I138" i="27"/>
  <c r="I138" i="28"/>
  <c r="I138" i="29"/>
  <c r="H138" i="26"/>
  <c r="H138" i="27"/>
  <c r="H138" i="28"/>
  <c r="H138" i="29"/>
  <c r="G138" i="26"/>
  <c r="G138" i="27"/>
  <c r="G138" i="28"/>
  <c r="G138" i="29"/>
  <c r="F138" i="26"/>
  <c r="F138" i="27"/>
  <c r="F138" i="28"/>
  <c r="F138" i="29"/>
  <c r="E138" i="26"/>
  <c r="E138" i="27"/>
  <c r="E138" i="28"/>
  <c r="E138" i="29"/>
  <c r="D138" i="26"/>
  <c r="D138" i="27"/>
  <c r="D138" i="28"/>
  <c r="D138" i="29"/>
  <c r="R137" i="26"/>
  <c r="R137" i="27"/>
  <c r="R137" i="28"/>
  <c r="R137" i="29"/>
  <c r="Q137" i="26"/>
  <c r="Q137" i="27"/>
  <c r="Q137" i="28"/>
  <c r="Q137" i="29"/>
  <c r="P137" i="26"/>
  <c r="P137" i="27"/>
  <c r="P137" i="28"/>
  <c r="P137" i="29"/>
  <c r="O137" i="26"/>
  <c r="O137" i="27"/>
  <c r="O137" i="28"/>
  <c r="O137" i="29"/>
  <c r="N137" i="26"/>
  <c r="N137" i="27"/>
  <c r="N137" i="28"/>
  <c r="N137" i="29"/>
  <c r="M137" i="26"/>
  <c r="L137" i="26"/>
  <c r="L137" i="27"/>
  <c r="L137" i="28"/>
  <c r="L137" i="29"/>
  <c r="K137" i="26"/>
  <c r="K137" i="27"/>
  <c r="K137" i="28"/>
  <c r="K137" i="29"/>
  <c r="J137" i="26"/>
  <c r="J137" i="27"/>
  <c r="J137" i="28"/>
  <c r="J137" i="29"/>
  <c r="I137" i="26"/>
  <c r="I137" i="27"/>
  <c r="I137" i="28"/>
  <c r="I137" i="29"/>
  <c r="H137" i="26"/>
  <c r="H137" i="27"/>
  <c r="H137" i="28"/>
  <c r="H137" i="29"/>
  <c r="G137" i="26"/>
  <c r="G137" i="27"/>
  <c r="G137" i="28"/>
  <c r="G137" i="29"/>
  <c r="F137" i="26"/>
  <c r="F137" i="27"/>
  <c r="F137" i="28"/>
  <c r="F137" i="29"/>
  <c r="E137" i="26"/>
  <c r="E137" i="27"/>
  <c r="E137" i="28"/>
  <c r="E137" i="29"/>
  <c r="D137" i="26"/>
  <c r="D137" i="27"/>
  <c r="D137" i="28"/>
  <c r="D137" i="29"/>
  <c r="R136" i="26"/>
  <c r="R136" i="27"/>
  <c r="R136" i="28"/>
  <c r="R136" i="29"/>
  <c r="Q136" i="26"/>
  <c r="Q136" i="27"/>
  <c r="Q136" i="28"/>
  <c r="Q136" i="29"/>
  <c r="P136" i="26"/>
  <c r="P136" i="27"/>
  <c r="P136" i="28"/>
  <c r="P136" i="29"/>
  <c r="O136" i="26"/>
  <c r="O136" i="27"/>
  <c r="O136" i="28"/>
  <c r="O136" i="29"/>
  <c r="N136" i="26"/>
  <c r="N136" i="27"/>
  <c r="N136" i="28"/>
  <c r="N136" i="29"/>
  <c r="M136" i="26"/>
  <c r="M136" i="27"/>
  <c r="M136" i="28"/>
  <c r="M136" i="29"/>
  <c r="L136" i="26"/>
  <c r="L136" i="27"/>
  <c r="L136" i="28"/>
  <c r="L136" i="29"/>
  <c r="K136" i="26"/>
  <c r="K136" i="27"/>
  <c r="K136" i="28"/>
  <c r="K136" i="29"/>
  <c r="J136" i="26"/>
  <c r="J136" i="27"/>
  <c r="J136" i="28"/>
  <c r="J136" i="29"/>
  <c r="I136" i="26"/>
  <c r="I136" i="27"/>
  <c r="I136" i="28"/>
  <c r="I136" i="29"/>
  <c r="H136" i="26"/>
  <c r="H136" i="27"/>
  <c r="H136" i="28"/>
  <c r="H136" i="29"/>
  <c r="G136" i="26"/>
  <c r="G136" i="27"/>
  <c r="G136" i="28"/>
  <c r="G136" i="29"/>
  <c r="F136" i="26"/>
  <c r="F136" i="27"/>
  <c r="F136" i="28"/>
  <c r="F136" i="29"/>
  <c r="E136" i="26"/>
  <c r="E136" i="27"/>
  <c r="D136" i="26"/>
  <c r="D136" i="27"/>
  <c r="D136" i="28"/>
  <c r="D136" i="29"/>
  <c r="R135" i="26"/>
  <c r="R135" i="27"/>
  <c r="R135" i="28"/>
  <c r="R135" i="29"/>
  <c r="Q135" i="26"/>
  <c r="Q135" i="27"/>
  <c r="Q135" i="28"/>
  <c r="Q135" i="29"/>
  <c r="P135" i="26"/>
  <c r="P135" i="27"/>
  <c r="P135" i="28"/>
  <c r="P135" i="29"/>
  <c r="O135" i="26"/>
  <c r="O135" i="27"/>
  <c r="O135" i="28"/>
  <c r="O135" i="29"/>
  <c r="N135" i="26"/>
  <c r="N135" i="27"/>
  <c r="N135" i="28"/>
  <c r="N135" i="29"/>
  <c r="M135" i="26"/>
  <c r="M135" i="27"/>
  <c r="M135" i="28"/>
  <c r="M135" i="29"/>
  <c r="L135" i="26"/>
  <c r="L135" i="27"/>
  <c r="L135" i="28"/>
  <c r="L135" i="29"/>
  <c r="K135" i="26"/>
  <c r="K135" i="27"/>
  <c r="K135" i="28"/>
  <c r="K135" i="29"/>
  <c r="J135" i="26"/>
  <c r="J135" i="27"/>
  <c r="J135" i="28"/>
  <c r="J135" i="29"/>
  <c r="I135" i="26"/>
  <c r="I135" i="27"/>
  <c r="I135" i="28"/>
  <c r="I135" i="29"/>
  <c r="H135" i="26"/>
  <c r="H135" i="27"/>
  <c r="H135" i="28"/>
  <c r="H135" i="29"/>
  <c r="G135" i="26"/>
  <c r="G135" i="27"/>
  <c r="G135" i="28"/>
  <c r="G135" i="29"/>
  <c r="F135" i="26"/>
  <c r="F135" i="27"/>
  <c r="F135" i="28"/>
  <c r="F135" i="29"/>
  <c r="E135" i="26"/>
  <c r="E135" i="27"/>
  <c r="E135" i="28"/>
  <c r="E135" i="29"/>
  <c r="D135" i="26"/>
  <c r="D135" i="27"/>
  <c r="D135" i="28"/>
  <c r="D135" i="29"/>
  <c r="R134" i="26"/>
  <c r="R134" i="27"/>
  <c r="R134" i="28"/>
  <c r="R134" i="29"/>
  <c r="Q134" i="26"/>
  <c r="Q134" i="27"/>
  <c r="Q134" i="28"/>
  <c r="Q134" i="29"/>
  <c r="P134" i="26"/>
  <c r="P134" i="27"/>
  <c r="P134" i="28"/>
  <c r="P134" i="29"/>
  <c r="O134" i="26"/>
  <c r="O134" i="27"/>
  <c r="O134" i="28"/>
  <c r="O134" i="29"/>
  <c r="N134" i="26"/>
  <c r="N134" i="27"/>
  <c r="N134" i="28"/>
  <c r="N134" i="29"/>
  <c r="M134" i="26"/>
  <c r="M134" i="27"/>
  <c r="M134" i="28"/>
  <c r="M134" i="29"/>
  <c r="L134" i="26"/>
  <c r="L134" i="27"/>
  <c r="L134" i="28"/>
  <c r="L134" i="29"/>
  <c r="K134" i="26"/>
  <c r="K134" i="27"/>
  <c r="K134" i="28"/>
  <c r="K134" i="29"/>
  <c r="J134" i="26"/>
  <c r="J134" i="27"/>
  <c r="J134" i="28"/>
  <c r="J134" i="29"/>
  <c r="I134" i="26"/>
  <c r="I134" i="27"/>
  <c r="I134" i="28"/>
  <c r="I134" i="29"/>
  <c r="H134" i="26"/>
  <c r="H134" i="27"/>
  <c r="H134" i="28"/>
  <c r="H134" i="29"/>
  <c r="G134" i="26"/>
  <c r="G134" i="27"/>
  <c r="G134" i="28"/>
  <c r="G134" i="29"/>
  <c r="F134" i="26"/>
  <c r="F134" i="27"/>
  <c r="F134" i="28"/>
  <c r="F134" i="29"/>
  <c r="E134" i="26"/>
  <c r="E134" i="27"/>
  <c r="D134" i="26"/>
  <c r="D134" i="27"/>
  <c r="D134" i="28"/>
  <c r="D134" i="29"/>
  <c r="R133" i="26"/>
  <c r="R133" i="27"/>
  <c r="R133" i="28"/>
  <c r="R133" i="29"/>
  <c r="Q133" i="26"/>
  <c r="Q133" i="27"/>
  <c r="Q133" i="28"/>
  <c r="Q133" i="29"/>
  <c r="P133" i="26"/>
  <c r="P133" i="27"/>
  <c r="P133" i="28"/>
  <c r="P133" i="29"/>
  <c r="O133" i="26"/>
  <c r="O133" i="27"/>
  <c r="O133" i="28"/>
  <c r="O133" i="29"/>
  <c r="N133" i="26"/>
  <c r="N133" i="27"/>
  <c r="N133" i="28"/>
  <c r="N133" i="29"/>
  <c r="M133" i="26"/>
  <c r="M133" i="27"/>
  <c r="M133" i="28"/>
  <c r="M133" i="29"/>
  <c r="L133" i="26"/>
  <c r="L133" i="27"/>
  <c r="L133" i="28"/>
  <c r="L133" i="29"/>
  <c r="K133" i="26"/>
  <c r="K133" i="27"/>
  <c r="K133" i="28"/>
  <c r="K133" i="29"/>
  <c r="J133" i="26"/>
  <c r="J133" i="27"/>
  <c r="J133" i="28"/>
  <c r="J133" i="29"/>
  <c r="I133" i="26"/>
  <c r="I133" i="27"/>
  <c r="I133" i="28"/>
  <c r="I133" i="29"/>
  <c r="H133" i="26"/>
  <c r="H133" i="27"/>
  <c r="H133" i="28"/>
  <c r="H133" i="29"/>
  <c r="G133" i="26"/>
  <c r="G133" i="27"/>
  <c r="G133" i="28"/>
  <c r="G133" i="29"/>
  <c r="F133" i="26"/>
  <c r="F133" i="27"/>
  <c r="F133" i="28"/>
  <c r="F133" i="29"/>
  <c r="E133" i="26"/>
  <c r="E133" i="27"/>
  <c r="E133" i="28"/>
  <c r="E133" i="29"/>
  <c r="D133" i="26"/>
  <c r="D133" i="27"/>
  <c r="D133" i="28"/>
  <c r="D133" i="29"/>
  <c r="M137" i="27"/>
  <c r="M137" i="28"/>
  <c r="M137" i="29"/>
  <c r="R141" i="28"/>
  <c r="R141" i="29"/>
  <c r="J141" i="28"/>
  <c r="J141" i="29"/>
  <c r="P139" i="28"/>
  <c r="P139" i="29"/>
  <c r="H139" i="28"/>
  <c r="H139" i="29"/>
  <c r="B140" i="19"/>
  <c r="B135" i="19"/>
  <c r="B133" i="20"/>
  <c r="B99" i="19"/>
  <c r="E54" i="9"/>
  <c r="F98" i="19"/>
  <c r="B98" i="19"/>
  <c r="V2" i="10"/>
  <c r="V2" i="11"/>
  <c r="V2" i="12"/>
  <c r="V2" i="13"/>
  <c r="B135" i="29"/>
  <c r="B133" i="28"/>
  <c r="B135" i="27"/>
  <c r="B133" i="26"/>
  <c r="B135" i="17"/>
  <c r="B135" i="22"/>
  <c r="B133" i="21"/>
  <c r="B135" i="20"/>
  <c r="B133" i="19"/>
  <c r="C101" i="19"/>
  <c r="B133" i="29"/>
  <c r="B135" i="28"/>
  <c r="B133" i="27"/>
  <c r="B135" i="26"/>
  <c r="B133" i="17"/>
  <c r="B133" i="22"/>
  <c r="B135" i="21"/>
  <c r="S49" i="18"/>
  <c r="S49" i="21"/>
  <c r="S49" i="20"/>
  <c r="S47" i="19"/>
  <c r="S49" i="19"/>
  <c r="C99" i="22"/>
  <c r="C102" i="21"/>
  <c r="C102" i="22"/>
  <c r="C103" i="20"/>
  <c r="C106" i="19"/>
  <c r="C106" i="17"/>
  <c r="C133" i="19"/>
  <c r="C133" i="20"/>
  <c r="C133" i="21"/>
  <c r="C133" i="22"/>
  <c r="C141" i="20"/>
  <c r="C141" i="22"/>
  <c r="B105" i="28"/>
  <c r="C133" i="29"/>
  <c r="C141" i="29"/>
  <c r="C133" i="28"/>
  <c r="C133" i="27"/>
  <c r="C135" i="27"/>
  <c r="C141" i="27"/>
  <c r="C133" i="26"/>
  <c r="C141" i="26"/>
  <c r="C133" i="17"/>
  <c r="C141" i="17"/>
  <c r="C103" i="26"/>
  <c r="C134" i="19"/>
  <c r="C134" i="20"/>
  <c r="C134" i="21"/>
  <c r="C134" i="22"/>
  <c r="C138" i="19"/>
  <c r="B98" i="29"/>
  <c r="B106" i="29"/>
  <c r="B98" i="26"/>
  <c r="B106" i="17"/>
  <c r="B134" i="26"/>
  <c r="B140" i="26"/>
  <c r="C134" i="29"/>
  <c r="C134" i="28"/>
  <c r="C140" i="28"/>
  <c r="C134" i="27"/>
  <c r="C134" i="26"/>
  <c r="C134" i="17"/>
  <c r="C103" i="27"/>
  <c r="B134" i="22"/>
  <c r="B140" i="22"/>
  <c r="B134" i="21"/>
  <c r="B134" i="20"/>
  <c r="B106" i="22"/>
  <c r="B98" i="21"/>
  <c r="B106" i="21"/>
  <c r="B102" i="20"/>
  <c r="B106" i="20"/>
  <c r="S102" i="26"/>
  <c r="S104" i="26"/>
  <c r="S106" i="26"/>
  <c r="S47" i="27"/>
  <c r="E47" i="28"/>
  <c r="S46" i="26"/>
  <c r="E46" i="27"/>
  <c r="S48" i="26"/>
  <c r="E48" i="27"/>
  <c r="S47" i="26"/>
  <c r="S21" i="17"/>
  <c r="S21" i="26"/>
  <c r="S21" i="28"/>
  <c r="S21" i="29"/>
  <c r="N98" i="19"/>
  <c r="L98" i="19"/>
  <c r="K98" i="19"/>
  <c r="I98" i="19"/>
  <c r="S47" i="22"/>
  <c r="S49" i="22"/>
  <c r="S134" i="27"/>
  <c r="S136" i="27"/>
  <c r="S139" i="28"/>
  <c r="E139" i="29"/>
  <c r="S139" i="29"/>
  <c r="S21" i="27"/>
  <c r="S141" i="28"/>
  <c r="S98" i="29"/>
  <c r="S137" i="28"/>
  <c r="S97" i="28"/>
  <c r="S104" i="28"/>
  <c r="S138" i="29"/>
  <c r="S140" i="29"/>
  <c r="E134" i="28"/>
  <c r="E134" i="29"/>
  <c r="S134" i="29"/>
  <c r="E136" i="28"/>
  <c r="E136" i="29"/>
  <c r="S136" i="29"/>
  <c r="S138" i="27"/>
  <c r="S140" i="27"/>
  <c r="D97" i="29"/>
  <c r="S97" i="29"/>
  <c r="D104" i="29"/>
  <c r="S104" i="29"/>
  <c r="S105" i="29"/>
  <c r="S99" i="28"/>
  <c r="S135" i="28"/>
  <c r="S100" i="29"/>
  <c r="S103" i="29"/>
  <c r="S101" i="28"/>
  <c r="S102" i="28"/>
  <c r="S106" i="28"/>
  <c r="S98" i="27"/>
  <c r="S100" i="27"/>
  <c r="S133" i="26"/>
  <c r="S135" i="26"/>
  <c r="S137" i="26"/>
  <c r="S139" i="26"/>
  <c r="S141" i="26"/>
  <c r="S103" i="27"/>
  <c r="S105" i="27"/>
  <c r="S48" i="21"/>
  <c r="S48" i="20"/>
  <c r="S133" i="28"/>
  <c r="S97" i="26"/>
  <c r="S99" i="26"/>
  <c r="S101" i="26"/>
  <c r="S48" i="18"/>
  <c r="S48" i="22"/>
  <c r="S48" i="19"/>
  <c r="S134" i="26"/>
  <c r="S136" i="26"/>
  <c r="S138" i="26"/>
  <c r="S140" i="26"/>
  <c r="S98" i="26"/>
  <c r="S100" i="26"/>
  <c r="S103" i="26"/>
  <c r="S105" i="26"/>
  <c r="S133" i="27"/>
  <c r="S135" i="27"/>
  <c r="S137" i="27"/>
  <c r="S139" i="27"/>
  <c r="S141" i="27"/>
  <c r="S97" i="27"/>
  <c r="S99" i="27"/>
  <c r="S102" i="27"/>
  <c r="S104" i="27"/>
  <c r="S106" i="27"/>
  <c r="S138" i="28"/>
  <c r="S140" i="28"/>
  <c r="S98" i="28"/>
  <c r="S100" i="28"/>
  <c r="S103" i="28"/>
  <c r="S105" i="28"/>
  <c r="S133" i="29"/>
  <c r="S135" i="29"/>
  <c r="S137" i="29"/>
  <c r="S141" i="29"/>
  <c r="S99" i="29"/>
  <c r="S101" i="29"/>
  <c r="S102" i="29"/>
  <c r="S106" i="29"/>
  <c r="S101" i="27"/>
  <c r="J135" i="19"/>
  <c r="F53" i="9"/>
  <c r="I97" i="20"/>
  <c r="E53" i="9"/>
  <c r="E57" i="9"/>
  <c r="E61" i="9"/>
  <c r="G97" i="10"/>
  <c r="G97" i="11"/>
  <c r="G97" i="12"/>
  <c r="R21" i="15"/>
  <c r="R22" i="15"/>
  <c r="C162" i="22"/>
  <c r="C161" i="22"/>
  <c r="C160" i="22"/>
  <c r="C159" i="22"/>
  <c r="R45" i="22"/>
  <c r="Q45" i="22"/>
  <c r="P45" i="22"/>
  <c r="O45" i="22"/>
  <c r="N45" i="22"/>
  <c r="M45" i="22"/>
  <c r="L45" i="22"/>
  <c r="K45" i="22"/>
  <c r="J45" i="22"/>
  <c r="I45" i="22"/>
  <c r="H45" i="22"/>
  <c r="G45" i="22"/>
  <c r="F45" i="22"/>
  <c r="S45" i="22"/>
  <c r="E45" i="22"/>
  <c r="D45" i="22"/>
  <c r="R44" i="22"/>
  <c r="O44" i="22"/>
  <c r="N44" i="22"/>
  <c r="M44" i="22"/>
  <c r="L44" i="22"/>
  <c r="K44" i="22"/>
  <c r="J44" i="22"/>
  <c r="I44" i="22"/>
  <c r="H44" i="22"/>
  <c r="E44" i="22"/>
  <c r="D44" i="22"/>
  <c r="R43" i="22"/>
  <c r="Q43" i="22"/>
  <c r="P43" i="22"/>
  <c r="O43" i="22"/>
  <c r="N43" i="22"/>
  <c r="M43" i="22"/>
  <c r="L43" i="22"/>
  <c r="K43" i="22"/>
  <c r="J43" i="22"/>
  <c r="I43" i="22"/>
  <c r="H43" i="22"/>
  <c r="G43" i="22"/>
  <c r="F43" i="22"/>
  <c r="E43" i="22"/>
  <c r="D43" i="22"/>
  <c r="S43" i="22"/>
  <c r="R42" i="22"/>
  <c r="Q42" i="22"/>
  <c r="P42" i="22"/>
  <c r="O42" i="22"/>
  <c r="N42" i="22"/>
  <c r="M42" i="22"/>
  <c r="L42" i="22"/>
  <c r="K42" i="22"/>
  <c r="J42" i="22"/>
  <c r="I42" i="22"/>
  <c r="H42" i="22"/>
  <c r="G42" i="22"/>
  <c r="F42" i="22"/>
  <c r="E42" i="22"/>
  <c r="D42" i="22"/>
  <c r="S42" i="22"/>
  <c r="R40" i="22"/>
  <c r="Q40" i="22"/>
  <c r="P40" i="22"/>
  <c r="O40" i="22"/>
  <c r="N40" i="22"/>
  <c r="M40" i="22"/>
  <c r="L40" i="22"/>
  <c r="K40" i="22"/>
  <c r="J40" i="22"/>
  <c r="I40" i="22"/>
  <c r="H40" i="22"/>
  <c r="G40" i="22"/>
  <c r="F40" i="22"/>
  <c r="E40" i="22"/>
  <c r="D40" i="22"/>
  <c r="R39" i="22"/>
  <c r="Q39" i="22"/>
  <c r="P39" i="22"/>
  <c r="O39" i="22"/>
  <c r="N39" i="22"/>
  <c r="M39" i="22"/>
  <c r="L39" i="22"/>
  <c r="K39" i="22"/>
  <c r="J39" i="22"/>
  <c r="I39" i="22"/>
  <c r="H39" i="22"/>
  <c r="G39" i="22"/>
  <c r="F39" i="22"/>
  <c r="S39" i="22"/>
  <c r="E39" i="22"/>
  <c r="D39" i="22"/>
  <c r="R38" i="22"/>
  <c r="Q38" i="22"/>
  <c r="P38" i="22"/>
  <c r="O38" i="22"/>
  <c r="N38" i="22"/>
  <c r="M38" i="22"/>
  <c r="L38" i="22"/>
  <c r="K38" i="22"/>
  <c r="J38" i="22"/>
  <c r="I38" i="22"/>
  <c r="H38" i="22"/>
  <c r="G38" i="22"/>
  <c r="F38" i="22"/>
  <c r="E38" i="22"/>
  <c r="S38" i="22"/>
  <c r="D38" i="22"/>
  <c r="R37" i="22"/>
  <c r="Q37" i="22"/>
  <c r="P37" i="22"/>
  <c r="O37" i="22"/>
  <c r="N37" i="22"/>
  <c r="M37" i="22"/>
  <c r="L37" i="22"/>
  <c r="K37" i="22"/>
  <c r="J37" i="22"/>
  <c r="I37" i="22"/>
  <c r="H37" i="22"/>
  <c r="G37" i="22"/>
  <c r="F37" i="22"/>
  <c r="E37" i="22"/>
  <c r="D37" i="22"/>
  <c r="R33" i="22"/>
  <c r="Q33" i="22"/>
  <c r="P33" i="22"/>
  <c r="O33" i="22"/>
  <c r="N33" i="22"/>
  <c r="M33" i="22"/>
  <c r="L33" i="22"/>
  <c r="K33" i="22"/>
  <c r="J33" i="22"/>
  <c r="I33" i="22"/>
  <c r="H33" i="22"/>
  <c r="G33" i="22"/>
  <c r="F33" i="22"/>
  <c r="E33" i="22"/>
  <c r="D33" i="22"/>
  <c r="R32" i="22"/>
  <c r="Q32" i="22"/>
  <c r="P32" i="22"/>
  <c r="O32" i="22"/>
  <c r="N32" i="22"/>
  <c r="M32" i="22"/>
  <c r="L32" i="22"/>
  <c r="K32" i="22"/>
  <c r="J32" i="22"/>
  <c r="I32" i="22"/>
  <c r="S32" i="22"/>
  <c r="H32" i="22"/>
  <c r="G32" i="22"/>
  <c r="F32" i="22"/>
  <c r="E32" i="22"/>
  <c r="D32" i="22"/>
  <c r="R31" i="22"/>
  <c r="Q31" i="22"/>
  <c r="P31" i="22"/>
  <c r="O31" i="22"/>
  <c r="N31" i="22"/>
  <c r="M31" i="22"/>
  <c r="L31" i="22"/>
  <c r="K31" i="22"/>
  <c r="J31" i="22"/>
  <c r="I31" i="22"/>
  <c r="H31" i="22"/>
  <c r="G31" i="22"/>
  <c r="F31" i="22"/>
  <c r="E31" i="22"/>
  <c r="D31" i="22"/>
  <c r="R27" i="26"/>
  <c r="R27" i="27"/>
  <c r="R27" i="28"/>
  <c r="Q27" i="26"/>
  <c r="Q27" i="27"/>
  <c r="P27" i="26"/>
  <c r="P27" i="27"/>
  <c r="O27" i="26"/>
  <c r="O27" i="27"/>
  <c r="O27" i="28"/>
  <c r="O27" i="29"/>
  <c r="O27" i="22"/>
  <c r="N27" i="26"/>
  <c r="N27" i="27"/>
  <c r="N27" i="28"/>
  <c r="M27" i="26"/>
  <c r="M27" i="27"/>
  <c r="M27" i="28"/>
  <c r="M27" i="29"/>
  <c r="M27" i="22"/>
  <c r="L27" i="26"/>
  <c r="L27" i="27"/>
  <c r="K27" i="26"/>
  <c r="K27" i="27"/>
  <c r="J27" i="26"/>
  <c r="J27" i="27"/>
  <c r="J27" i="28"/>
  <c r="J27" i="29"/>
  <c r="J27" i="22"/>
  <c r="I27" i="26"/>
  <c r="I27" i="27"/>
  <c r="H27" i="26"/>
  <c r="H27" i="27"/>
  <c r="H27" i="28"/>
  <c r="G27" i="26"/>
  <c r="G27" i="27"/>
  <c r="F27" i="26"/>
  <c r="F27" i="19"/>
  <c r="F27" i="27"/>
  <c r="F27" i="28"/>
  <c r="E27" i="26"/>
  <c r="E27" i="27"/>
  <c r="D27" i="26"/>
  <c r="D27" i="27"/>
  <c r="D27" i="28"/>
  <c r="R22" i="22"/>
  <c r="Q22" i="22"/>
  <c r="P22" i="22"/>
  <c r="O22" i="22"/>
  <c r="N22" i="22"/>
  <c r="M22" i="22"/>
  <c r="L22" i="22"/>
  <c r="K22" i="22"/>
  <c r="J22" i="22"/>
  <c r="I22" i="22"/>
  <c r="H22" i="22"/>
  <c r="G22" i="22"/>
  <c r="F22" i="22"/>
  <c r="E22" i="22"/>
  <c r="D22" i="22"/>
  <c r="R15" i="22"/>
  <c r="Q15" i="22"/>
  <c r="P15" i="22"/>
  <c r="O15" i="22"/>
  <c r="N15" i="22"/>
  <c r="M15" i="22"/>
  <c r="L15" i="22"/>
  <c r="K15" i="22"/>
  <c r="J15" i="22"/>
  <c r="I15" i="22"/>
  <c r="H15" i="22"/>
  <c r="G15" i="22"/>
  <c r="C162" i="21"/>
  <c r="C161" i="21"/>
  <c r="C160" i="21"/>
  <c r="C159" i="21"/>
  <c r="R45" i="21"/>
  <c r="Q45" i="21"/>
  <c r="P45" i="21"/>
  <c r="O45" i="21"/>
  <c r="N45" i="21"/>
  <c r="M45" i="21"/>
  <c r="M42" i="21"/>
  <c r="M44" i="21"/>
  <c r="M43" i="21"/>
  <c r="M37" i="21"/>
  <c r="M38" i="21"/>
  <c r="M39" i="21"/>
  <c r="M40" i="21"/>
  <c r="L45" i="21"/>
  <c r="K45" i="21"/>
  <c r="J45" i="21"/>
  <c r="I45" i="21"/>
  <c r="I42" i="21"/>
  <c r="I44" i="21"/>
  <c r="I43" i="21"/>
  <c r="I37" i="21"/>
  <c r="I38" i="21"/>
  <c r="I39" i="21"/>
  <c r="I40" i="21"/>
  <c r="H45" i="21"/>
  <c r="G45" i="21"/>
  <c r="F45" i="21"/>
  <c r="E45" i="21"/>
  <c r="E42" i="21"/>
  <c r="E44" i="21"/>
  <c r="E43" i="21"/>
  <c r="E37" i="21"/>
  <c r="E38" i="21"/>
  <c r="E39" i="21"/>
  <c r="E40" i="21"/>
  <c r="D45" i="21"/>
  <c r="S45" i="21"/>
  <c r="R44" i="21"/>
  <c r="O44" i="21"/>
  <c r="N44" i="21"/>
  <c r="L44" i="21"/>
  <c r="K44" i="21"/>
  <c r="J44" i="21"/>
  <c r="H44" i="21"/>
  <c r="D44" i="21"/>
  <c r="R43" i="21"/>
  <c r="Q43" i="21"/>
  <c r="P43" i="21"/>
  <c r="O43" i="21"/>
  <c r="N43" i="21"/>
  <c r="L43" i="21"/>
  <c r="K43" i="21"/>
  <c r="J43" i="21"/>
  <c r="H43" i="21"/>
  <c r="G43" i="21"/>
  <c r="F43" i="21"/>
  <c r="D43" i="21"/>
  <c r="R42" i="21"/>
  <c r="Q42" i="21"/>
  <c r="P42" i="21"/>
  <c r="O42" i="21"/>
  <c r="N42" i="21"/>
  <c r="L42" i="21"/>
  <c r="K42" i="21"/>
  <c r="J42" i="21"/>
  <c r="H42" i="21"/>
  <c r="G42" i="21"/>
  <c r="F42" i="21"/>
  <c r="S42" i="21"/>
  <c r="D42" i="21"/>
  <c r="R40" i="21"/>
  <c r="Q40" i="21"/>
  <c r="P40" i="21"/>
  <c r="O40" i="21"/>
  <c r="N40" i="21"/>
  <c r="L40" i="21"/>
  <c r="K40" i="21"/>
  <c r="J40" i="21"/>
  <c r="H40" i="21"/>
  <c r="G40" i="21"/>
  <c r="F40" i="21"/>
  <c r="S40" i="21"/>
  <c r="D40" i="21"/>
  <c r="R39" i="21"/>
  <c r="Q39" i="21"/>
  <c r="P39" i="21"/>
  <c r="O39" i="21"/>
  <c r="N39" i="21"/>
  <c r="L39" i="21"/>
  <c r="K39" i="21"/>
  <c r="J39" i="21"/>
  <c r="H39" i="21"/>
  <c r="G39" i="21"/>
  <c r="F39" i="21"/>
  <c r="S39" i="21"/>
  <c r="D39" i="21"/>
  <c r="R38" i="21"/>
  <c r="Q38" i="21"/>
  <c r="P38" i="21"/>
  <c r="O38" i="21"/>
  <c r="N38" i="21"/>
  <c r="L38" i="21"/>
  <c r="K38" i="21"/>
  <c r="J38" i="21"/>
  <c r="H38" i="21"/>
  <c r="G38" i="21"/>
  <c r="F38" i="21"/>
  <c r="D38" i="21"/>
  <c r="R37" i="21"/>
  <c r="Q37" i="21"/>
  <c r="P37" i="21"/>
  <c r="O37" i="21"/>
  <c r="N37" i="21"/>
  <c r="L37" i="21"/>
  <c r="K37" i="21"/>
  <c r="J37" i="21"/>
  <c r="H37" i="21"/>
  <c r="G37" i="21"/>
  <c r="F37" i="21"/>
  <c r="D37" i="21"/>
  <c r="R33" i="21"/>
  <c r="Q33" i="21"/>
  <c r="P33" i="21"/>
  <c r="O33" i="21"/>
  <c r="N33" i="21"/>
  <c r="M33" i="21"/>
  <c r="L33" i="21"/>
  <c r="K33" i="21"/>
  <c r="J33" i="21"/>
  <c r="I33" i="21"/>
  <c r="H33" i="21"/>
  <c r="G33" i="21"/>
  <c r="F33" i="21"/>
  <c r="E33" i="21"/>
  <c r="D33" i="21"/>
  <c r="R32" i="21"/>
  <c r="Q32" i="21"/>
  <c r="P32" i="21"/>
  <c r="O32" i="21"/>
  <c r="N32" i="21"/>
  <c r="M32" i="21"/>
  <c r="L32" i="21"/>
  <c r="K32" i="21"/>
  <c r="J32" i="21"/>
  <c r="I32" i="21"/>
  <c r="H32" i="21"/>
  <c r="S32" i="21"/>
  <c r="G32" i="21"/>
  <c r="F32" i="21"/>
  <c r="E32" i="21"/>
  <c r="D32" i="21"/>
  <c r="R31" i="21"/>
  <c r="Q31" i="21"/>
  <c r="P31" i="21"/>
  <c r="O31" i="21"/>
  <c r="N31" i="21"/>
  <c r="M31" i="21"/>
  <c r="L31" i="21"/>
  <c r="K31" i="21"/>
  <c r="J31" i="21"/>
  <c r="I31" i="21"/>
  <c r="H31" i="21"/>
  <c r="G31" i="21"/>
  <c r="F31" i="21"/>
  <c r="E31" i="21"/>
  <c r="D31" i="21"/>
  <c r="O27" i="21"/>
  <c r="M27" i="21"/>
  <c r="J27" i="21"/>
  <c r="R22" i="21"/>
  <c r="Q22" i="21"/>
  <c r="P22" i="21"/>
  <c r="O22" i="21"/>
  <c r="N22" i="21"/>
  <c r="M22" i="21"/>
  <c r="L22" i="21"/>
  <c r="K22" i="21"/>
  <c r="J22" i="21"/>
  <c r="I22" i="21"/>
  <c r="H22" i="21"/>
  <c r="G22" i="21"/>
  <c r="F22" i="21"/>
  <c r="E22" i="21"/>
  <c r="D22" i="21"/>
  <c r="R15" i="21"/>
  <c r="Q15" i="21"/>
  <c r="P15" i="21"/>
  <c r="O15" i="21"/>
  <c r="N15" i="21"/>
  <c r="M15" i="21"/>
  <c r="L15" i="21"/>
  <c r="K15" i="21"/>
  <c r="J15" i="21"/>
  <c r="I15" i="21"/>
  <c r="H15" i="21"/>
  <c r="G15" i="21"/>
  <c r="C162" i="20"/>
  <c r="C161" i="20"/>
  <c r="C160" i="20"/>
  <c r="C159" i="20"/>
  <c r="R45" i="20"/>
  <c r="R42" i="20"/>
  <c r="R44" i="20"/>
  <c r="R43" i="20"/>
  <c r="R37" i="20"/>
  <c r="R38" i="20"/>
  <c r="R39" i="20"/>
  <c r="R40" i="20"/>
  <c r="Q45" i="20"/>
  <c r="P45" i="20"/>
  <c r="O45" i="20"/>
  <c r="N45" i="20"/>
  <c r="M45" i="20"/>
  <c r="L45" i="20"/>
  <c r="K45" i="20"/>
  <c r="J45" i="20"/>
  <c r="I45" i="20"/>
  <c r="H45" i="20"/>
  <c r="F45" i="20"/>
  <c r="S45" i="20"/>
  <c r="E45" i="20"/>
  <c r="D45" i="20"/>
  <c r="P44" i="20"/>
  <c r="N44" i="20"/>
  <c r="M44" i="20"/>
  <c r="L44" i="20"/>
  <c r="J44" i="20"/>
  <c r="I44" i="20"/>
  <c r="H44" i="20"/>
  <c r="E44" i="20"/>
  <c r="D44" i="20"/>
  <c r="Q43" i="20"/>
  <c r="P43" i="20"/>
  <c r="O43" i="20"/>
  <c r="N43" i="20"/>
  <c r="M43" i="20"/>
  <c r="L43" i="20"/>
  <c r="K43" i="20"/>
  <c r="J43" i="20"/>
  <c r="I43" i="20"/>
  <c r="H43" i="20"/>
  <c r="F43" i="20"/>
  <c r="E43" i="20"/>
  <c r="D43" i="20"/>
  <c r="S43" i="20"/>
  <c r="Q42" i="20"/>
  <c r="P42" i="20"/>
  <c r="O42" i="20"/>
  <c r="N42" i="20"/>
  <c r="M42" i="20"/>
  <c r="L42" i="20"/>
  <c r="K42" i="20"/>
  <c r="J42" i="20"/>
  <c r="I42" i="20"/>
  <c r="H42" i="20"/>
  <c r="F42" i="20"/>
  <c r="E42" i="20"/>
  <c r="D42" i="20"/>
  <c r="S42" i="20"/>
  <c r="Q40" i="20"/>
  <c r="P40" i="20"/>
  <c r="O40" i="20"/>
  <c r="N40" i="20"/>
  <c r="M40" i="20"/>
  <c r="L40" i="20"/>
  <c r="K40" i="20"/>
  <c r="J40" i="20"/>
  <c r="I40" i="20"/>
  <c r="H40" i="20"/>
  <c r="F40" i="20"/>
  <c r="E40" i="20"/>
  <c r="D40" i="20"/>
  <c r="Q39" i="20"/>
  <c r="P39" i="20"/>
  <c r="O39" i="20"/>
  <c r="N39" i="20"/>
  <c r="M39" i="20"/>
  <c r="L39" i="20"/>
  <c r="K39" i="20"/>
  <c r="J39" i="20"/>
  <c r="I39" i="20"/>
  <c r="H39" i="20"/>
  <c r="F39" i="20"/>
  <c r="E39" i="20"/>
  <c r="S39" i="20"/>
  <c r="D39" i="20"/>
  <c r="Q38" i="20"/>
  <c r="P38" i="20"/>
  <c r="O38" i="20"/>
  <c r="N38" i="20"/>
  <c r="M38" i="20"/>
  <c r="L38" i="20"/>
  <c r="K38" i="20"/>
  <c r="J38" i="20"/>
  <c r="I38" i="20"/>
  <c r="H38" i="20"/>
  <c r="F38" i="20"/>
  <c r="E38" i="20"/>
  <c r="D38" i="20"/>
  <c r="Q37" i="20"/>
  <c r="P37" i="20"/>
  <c r="O37" i="20"/>
  <c r="N37" i="20"/>
  <c r="M37" i="20"/>
  <c r="L37" i="20"/>
  <c r="K37" i="20"/>
  <c r="J37" i="20"/>
  <c r="I37" i="20"/>
  <c r="H37" i="20"/>
  <c r="F37" i="20"/>
  <c r="E37" i="20"/>
  <c r="D37" i="20"/>
  <c r="R33" i="20"/>
  <c r="Q33" i="20"/>
  <c r="P33" i="20"/>
  <c r="O33" i="20"/>
  <c r="N33" i="20"/>
  <c r="M33" i="20"/>
  <c r="L33" i="20"/>
  <c r="K33" i="20"/>
  <c r="J33" i="20"/>
  <c r="I33" i="20"/>
  <c r="H33" i="20"/>
  <c r="G33" i="20"/>
  <c r="F33" i="20"/>
  <c r="E33" i="20"/>
  <c r="D33" i="20"/>
  <c r="R32" i="20"/>
  <c r="Q32" i="20"/>
  <c r="P32" i="20"/>
  <c r="O32" i="20"/>
  <c r="N32" i="20"/>
  <c r="M32" i="20"/>
  <c r="L32" i="20"/>
  <c r="K32" i="20"/>
  <c r="J32" i="20"/>
  <c r="I32" i="20"/>
  <c r="H32" i="20"/>
  <c r="G32" i="20"/>
  <c r="F32" i="20"/>
  <c r="E32" i="20"/>
  <c r="D32" i="20"/>
  <c r="R31" i="20"/>
  <c r="Q31" i="20"/>
  <c r="P31" i="20"/>
  <c r="O31" i="20"/>
  <c r="N31" i="20"/>
  <c r="M31" i="20"/>
  <c r="L31" i="20"/>
  <c r="K31" i="20"/>
  <c r="J31" i="20"/>
  <c r="I31" i="20"/>
  <c r="H31" i="20"/>
  <c r="G31" i="20"/>
  <c r="F31" i="20"/>
  <c r="E31" i="20"/>
  <c r="D31" i="20"/>
  <c r="O27" i="20"/>
  <c r="M27" i="20"/>
  <c r="J27" i="20"/>
  <c r="H27" i="20"/>
  <c r="D27" i="20"/>
  <c r="R22" i="20"/>
  <c r="Q22" i="20"/>
  <c r="P22" i="20"/>
  <c r="O22" i="20"/>
  <c r="N22" i="20"/>
  <c r="M22" i="20"/>
  <c r="L22" i="20"/>
  <c r="K22" i="20"/>
  <c r="J22" i="20"/>
  <c r="I22" i="20"/>
  <c r="H22" i="20"/>
  <c r="G22" i="20"/>
  <c r="F22" i="20"/>
  <c r="E22" i="20"/>
  <c r="D22" i="20"/>
  <c r="R15" i="20"/>
  <c r="Q15" i="20"/>
  <c r="P15" i="20"/>
  <c r="O15" i="20"/>
  <c r="N15" i="20"/>
  <c r="M15" i="20"/>
  <c r="L15" i="20"/>
  <c r="K15" i="20"/>
  <c r="J15" i="20"/>
  <c r="I15" i="20"/>
  <c r="H15" i="20"/>
  <c r="G15" i="20"/>
  <c r="C87" i="29"/>
  <c r="B87" i="29"/>
  <c r="C86" i="29"/>
  <c r="B86" i="29"/>
  <c r="C85" i="29"/>
  <c r="B85" i="29"/>
  <c r="C84" i="29"/>
  <c r="B84" i="29"/>
  <c r="C83" i="29"/>
  <c r="B83" i="29"/>
  <c r="C82" i="29"/>
  <c r="B82" i="29"/>
  <c r="C81" i="29"/>
  <c r="B81" i="29"/>
  <c r="C80" i="29"/>
  <c r="B80" i="29"/>
  <c r="C79" i="29"/>
  <c r="B79" i="29"/>
  <c r="C75" i="29"/>
  <c r="B75" i="29"/>
  <c r="C74" i="29"/>
  <c r="B74" i="29"/>
  <c r="C73" i="29"/>
  <c r="B73" i="29"/>
  <c r="C72" i="29"/>
  <c r="B72" i="29"/>
  <c r="C71" i="29"/>
  <c r="B71" i="29"/>
  <c r="C70" i="29"/>
  <c r="B70" i="29"/>
  <c r="C69" i="29"/>
  <c r="B69" i="29"/>
  <c r="C68" i="29"/>
  <c r="B68" i="29"/>
  <c r="C67" i="29"/>
  <c r="B67" i="29"/>
  <c r="C66" i="29"/>
  <c r="B66" i="29"/>
  <c r="C62" i="29"/>
  <c r="B62" i="29"/>
  <c r="C61" i="29"/>
  <c r="B61" i="29"/>
  <c r="C60" i="29"/>
  <c r="B60" i="29"/>
  <c r="C59" i="29"/>
  <c r="B59" i="29"/>
  <c r="C58" i="29"/>
  <c r="B58" i="29"/>
  <c r="C57" i="29"/>
  <c r="B57" i="29"/>
  <c r="C56" i="29"/>
  <c r="B56" i="29"/>
  <c r="C55" i="29"/>
  <c r="B55" i="29"/>
  <c r="C49" i="29"/>
  <c r="B49" i="29"/>
  <c r="C45" i="29"/>
  <c r="B45" i="29"/>
  <c r="C44" i="29"/>
  <c r="B44" i="29"/>
  <c r="C43" i="29"/>
  <c r="B43" i="29"/>
  <c r="C42" i="29"/>
  <c r="B42" i="29"/>
  <c r="C41" i="29"/>
  <c r="B41" i="29"/>
  <c r="C40" i="29"/>
  <c r="B40" i="29"/>
  <c r="C39" i="29"/>
  <c r="B39" i="29"/>
  <c r="C38" i="29"/>
  <c r="B38" i="29"/>
  <c r="C37" i="29"/>
  <c r="B37" i="29"/>
  <c r="C33" i="29"/>
  <c r="B33" i="29"/>
  <c r="C32" i="29"/>
  <c r="B32" i="29"/>
  <c r="C31" i="29"/>
  <c r="B31" i="29"/>
  <c r="C30" i="29"/>
  <c r="B30" i="29"/>
  <c r="C29" i="29"/>
  <c r="B29" i="29"/>
  <c r="C28" i="29"/>
  <c r="B28" i="29"/>
  <c r="C27" i="29"/>
  <c r="B27" i="29"/>
  <c r="C26" i="29"/>
  <c r="B26" i="29"/>
  <c r="C22" i="29"/>
  <c r="B22" i="29"/>
  <c r="C20" i="29"/>
  <c r="B20" i="29"/>
  <c r="C19" i="29"/>
  <c r="B19" i="29"/>
  <c r="C18" i="29"/>
  <c r="B18" i="29"/>
  <c r="C17" i="29"/>
  <c r="B17" i="29"/>
  <c r="C16" i="29"/>
  <c r="B16" i="29"/>
  <c r="C15" i="29"/>
  <c r="B15" i="29"/>
  <c r="C12" i="29"/>
  <c r="B12" i="29"/>
  <c r="A1" i="29"/>
  <c r="C87" i="28"/>
  <c r="B87" i="28"/>
  <c r="C86" i="28"/>
  <c r="B86" i="28"/>
  <c r="C85" i="28"/>
  <c r="B85" i="28"/>
  <c r="C84" i="28"/>
  <c r="B84" i="28"/>
  <c r="C83" i="28"/>
  <c r="B83" i="28"/>
  <c r="C82" i="28"/>
  <c r="B82" i="28"/>
  <c r="C81" i="28"/>
  <c r="B81" i="28"/>
  <c r="C80" i="28"/>
  <c r="B80" i="28"/>
  <c r="C79" i="28"/>
  <c r="B79" i="28"/>
  <c r="C75" i="28"/>
  <c r="B75" i="28"/>
  <c r="C74" i="28"/>
  <c r="B74" i="28"/>
  <c r="C73" i="28"/>
  <c r="B73" i="28"/>
  <c r="C72" i="28"/>
  <c r="B72" i="28"/>
  <c r="C71" i="28"/>
  <c r="B71" i="28"/>
  <c r="C70" i="28"/>
  <c r="B70" i="28"/>
  <c r="C69" i="28"/>
  <c r="B69" i="28"/>
  <c r="C68" i="28"/>
  <c r="B68" i="28"/>
  <c r="C67" i="28"/>
  <c r="B67" i="28"/>
  <c r="C66" i="28"/>
  <c r="B66" i="28"/>
  <c r="C62" i="28"/>
  <c r="B62" i="28"/>
  <c r="C61" i="28"/>
  <c r="B61" i="28"/>
  <c r="C60" i="28"/>
  <c r="B60" i="28"/>
  <c r="C59" i="28"/>
  <c r="B59" i="28"/>
  <c r="C58" i="28"/>
  <c r="B58" i="28"/>
  <c r="C57" i="28"/>
  <c r="B57" i="28"/>
  <c r="C56" i="28"/>
  <c r="B56" i="28"/>
  <c r="C55" i="28"/>
  <c r="B55" i="28"/>
  <c r="C49" i="28"/>
  <c r="B49" i="28"/>
  <c r="C45" i="28"/>
  <c r="B45" i="28"/>
  <c r="C44" i="28"/>
  <c r="B44" i="28"/>
  <c r="C43" i="28"/>
  <c r="B43" i="28"/>
  <c r="C42" i="28"/>
  <c r="B42" i="28"/>
  <c r="C41" i="28"/>
  <c r="B41" i="28"/>
  <c r="C40" i="28"/>
  <c r="B40" i="28"/>
  <c r="C39" i="28"/>
  <c r="B39" i="28"/>
  <c r="C38" i="28"/>
  <c r="B38" i="28"/>
  <c r="C37" i="28"/>
  <c r="B37" i="28"/>
  <c r="C33" i="28"/>
  <c r="B33" i="28"/>
  <c r="C32" i="28"/>
  <c r="B32" i="28"/>
  <c r="C31" i="28"/>
  <c r="B31" i="28"/>
  <c r="C30" i="28"/>
  <c r="B30" i="28"/>
  <c r="C29" i="28"/>
  <c r="B29" i="28"/>
  <c r="C28" i="28"/>
  <c r="B28" i="28"/>
  <c r="C27" i="28"/>
  <c r="B27" i="28"/>
  <c r="C26" i="28"/>
  <c r="B26" i="28"/>
  <c r="C22" i="28"/>
  <c r="B22" i="28"/>
  <c r="C20" i="28"/>
  <c r="B20" i="28"/>
  <c r="C19" i="28"/>
  <c r="B19" i="28"/>
  <c r="C18" i="28"/>
  <c r="B18" i="28"/>
  <c r="C17" i="28"/>
  <c r="B17" i="28"/>
  <c r="C16" i="28"/>
  <c r="B16" i="28"/>
  <c r="C15" i="28"/>
  <c r="B15" i="28"/>
  <c r="C12" i="28"/>
  <c r="B12" i="28"/>
  <c r="A1" i="28"/>
  <c r="C87" i="27"/>
  <c r="B87" i="27"/>
  <c r="C86" i="27"/>
  <c r="B86" i="27"/>
  <c r="C85" i="27"/>
  <c r="B85" i="27"/>
  <c r="C84" i="27"/>
  <c r="B84" i="27"/>
  <c r="C83" i="27"/>
  <c r="B83" i="27"/>
  <c r="C82" i="27"/>
  <c r="B82" i="27"/>
  <c r="C81" i="27"/>
  <c r="B81" i="27"/>
  <c r="C80" i="27"/>
  <c r="B80" i="27"/>
  <c r="C79" i="27"/>
  <c r="B79" i="27"/>
  <c r="C75" i="27"/>
  <c r="B75" i="27"/>
  <c r="C74" i="27"/>
  <c r="B74" i="27"/>
  <c r="C73" i="27"/>
  <c r="B73" i="27"/>
  <c r="C72" i="27"/>
  <c r="B72" i="27"/>
  <c r="C71" i="27"/>
  <c r="B71" i="27"/>
  <c r="C70" i="27"/>
  <c r="B70" i="27"/>
  <c r="C69" i="27"/>
  <c r="B69" i="27"/>
  <c r="C68" i="27"/>
  <c r="B68" i="27"/>
  <c r="C67" i="27"/>
  <c r="B67" i="27"/>
  <c r="C66" i="27"/>
  <c r="B66" i="27"/>
  <c r="C62" i="27"/>
  <c r="B62" i="27"/>
  <c r="C61" i="27"/>
  <c r="B61" i="27"/>
  <c r="C60" i="27"/>
  <c r="B60" i="27"/>
  <c r="C59" i="27"/>
  <c r="B59" i="27"/>
  <c r="C58" i="27"/>
  <c r="B58" i="27"/>
  <c r="C57" i="27"/>
  <c r="B57" i="27"/>
  <c r="C56" i="27"/>
  <c r="B56" i="27"/>
  <c r="C55" i="27"/>
  <c r="B55" i="27"/>
  <c r="C49" i="27"/>
  <c r="B49" i="27"/>
  <c r="C45" i="27"/>
  <c r="B45" i="27"/>
  <c r="C44" i="27"/>
  <c r="B44" i="27"/>
  <c r="C43" i="27"/>
  <c r="B43" i="27"/>
  <c r="C42" i="27"/>
  <c r="B42" i="27"/>
  <c r="C41" i="27"/>
  <c r="B41" i="27"/>
  <c r="C40" i="27"/>
  <c r="B40" i="27"/>
  <c r="C39" i="27"/>
  <c r="B39" i="27"/>
  <c r="C38" i="27"/>
  <c r="B38" i="27"/>
  <c r="C37" i="27"/>
  <c r="B37" i="27"/>
  <c r="C33" i="27"/>
  <c r="B33" i="27"/>
  <c r="C32" i="27"/>
  <c r="B32" i="27"/>
  <c r="C31" i="27"/>
  <c r="B31" i="27"/>
  <c r="C30" i="27"/>
  <c r="B30" i="27"/>
  <c r="C29" i="27"/>
  <c r="B29" i="27"/>
  <c r="C28" i="27"/>
  <c r="B28" i="27"/>
  <c r="C27" i="27"/>
  <c r="B27" i="27"/>
  <c r="C26" i="27"/>
  <c r="B26" i="27"/>
  <c r="C22" i="27"/>
  <c r="B22" i="27"/>
  <c r="C20" i="27"/>
  <c r="B20" i="27"/>
  <c r="C19" i="27"/>
  <c r="B19" i="27"/>
  <c r="C18" i="27"/>
  <c r="B18" i="27"/>
  <c r="C17" i="27"/>
  <c r="B17" i="27"/>
  <c r="C16" i="27"/>
  <c r="B16" i="27"/>
  <c r="C15" i="27"/>
  <c r="B15" i="27"/>
  <c r="C12" i="27"/>
  <c r="B12" i="27"/>
  <c r="A1" i="27"/>
  <c r="T17" i="26"/>
  <c r="T17" i="27"/>
  <c r="T17" i="28"/>
  <c r="T17" i="29"/>
  <c r="C162" i="19"/>
  <c r="C161" i="19"/>
  <c r="C160" i="19"/>
  <c r="C159" i="19"/>
  <c r="R45" i="19"/>
  <c r="R42" i="19"/>
  <c r="R44" i="19"/>
  <c r="R43" i="19"/>
  <c r="R37" i="19"/>
  <c r="R38" i="19"/>
  <c r="R39" i="19"/>
  <c r="R40" i="19"/>
  <c r="Q45" i="19"/>
  <c r="Q42" i="19"/>
  <c r="Q43" i="19"/>
  <c r="Q37" i="19"/>
  <c r="Q38" i="19"/>
  <c r="Q39" i="19"/>
  <c r="Q40" i="19"/>
  <c r="P45" i="19"/>
  <c r="O45" i="19"/>
  <c r="N45" i="19"/>
  <c r="N42" i="19"/>
  <c r="N44" i="19"/>
  <c r="N43" i="19"/>
  <c r="N37" i="19"/>
  <c r="N38" i="19"/>
  <c r="N39" i="19"/>
  <c r="N40" i="19"/>
  <c r="M45" i="19"/>
  <c r="M42" i="19"/>
  <c r="M44" i="19"/>
  <c r="M43" i="19"/>
  <c r="M37" i="19"/>
  <c r="M38" i="19"/>
  <c r="M39" i="19"/>
  <c r="M40" i="19"/>
  <c r="L45" i="19"/>
  <c r="K45" i="19"/>
  <c r="J45" i="19"/>
  <c r="I45" i="19"/>
  <c r="H45" i="19"/>
  <c r="G45" i="19"/>
  <c r="F45" i="19"/>
  <c r="E45" i="19"/>
  <c r="D45" i="19"/>
  <c r="P44" i="19"/>
  <c r="O44" i="19"/>
  <c r="L44" i="19"/>
  <c r="K44" i="19"/>
  <c r="J44" i="19"/>
  <c r="I44" i="19"/>
  <c r="H44" i="19"/>
  <c r="E44" i="19"/>
  <c r="D44" i="19"/>
  <c r="P43" i="19"/>
  <c r="O43" i="19"/>
  <c r="L43" i="19"/>
  <c r="K43" i="19"/>
  <c r="J43" i="19"/>
  <c r="I43" i="19"/>
  <c r="H43" i="19"/>
  <c r="G43" i="19"/>
  <c r="F43" i="19"/>
  <c r="E43" i="19"/>
  <c r="S43" i="19"/>
  <c r="D43" i="19"/>
  <c r="P42" i="19"/>
  <c r="O42" i="19"/>
  <c r="L42" i="19"/>
  <c r="K42" i="19"/>
  <c r="J42" i="19"/>
  <c r="I42" i="19"/>
  <c r="H42" i="19"/>
  <c r="G42" i="19"/>
  <c r="F42" i="19"/>
  <c r="E42" i="19"/>
  <c r="S42" i="19"/>
  <c r="D42" i="19"/>
  <c r="P40" i="19"/>
  <c r="O40" i="19"/>
  <c r="L40" i="19"/>
  <c r="K40" i="19"/>
  <c r="J40" i="19"/>
  <c r="I40" i="19"/>
  <c r="H40" i="19"/>
  <c r="G40" i="19"/>
  <c r="F40" i="19"/>
  <c r="E40" i="19"/>
  <c r="S40" i="19"/>
  <c r="D40" i="19"/>
  <c r="P39" i="19"/>
  <c r="O39" i="19"/>
  <c r="L39" i="19"/>
  <c r="K39" i="19"/>
  <c r="J39" i="19"/>
  <c r="I39" i="19"/>
  <c r="H39" i="19"/>
  <c r="G39" i="19"/>
  <c r="F39" i="19"/>
  <c r="E39" i="19"/>
  <c r="D39" i="19"/>
  <c r="S39" i="19"/>
  <c r="P38" i="19"/>
  <c r="O38" i="19"/>
  <c r="L38" i="19"/>
  <c r="K38" i="19"/>
  <c r="J38" i="19"/>
  <c r="I38" i="19"/>
  <c r="H38" i="19"/>
  <c r="G38" i="19"/>
  <c r="S38" i="19"/>
  <c r="F38" i="19"/>
  <c r="E38" i="19"/>
  <c r="D38" i="19"/>
  <c r="P37" i="19"/>
  <c r="O37" i="19"/>
  <c r="L37" i="19"/>
  <c r="K37" i="19"/>
  <c r="J37" i="19"/>
  <c r="I37" i="19"/>
  <c r="H37" i="19"/>
  <c r="G37" i="19"/>
  <c r="F37" i="19"/>
  <c r="E37" i="19"/>
  <c r="D37" i="19"/>
  <c r="R33" i="19"/>
  <c r="Q33" i="19"/>
  <c r="P33" i="19"/>
  <c r="O33" i="19"/>
  <c r="N33" i="19"/>
  <c r="M33" i="19"/>
  <c r="L33" i="19"/>
  <c r="K33" i="19"/>
  <c r="J33" i="19"/>
  <c r="I33" i="19"/>
  <c r="H33" i="19"/>
  <c r="G33" i="19"/>
  <c r="F33" i="19"/>
  <c r="E33" i="19"/>
  <c r="D33" i="19"/>
  <c r="R32" i="19"/>
  <c r="Q32" i="19"/>
  <c r="P32" i="19"/>
  <c r="O32" i="19"/>
  <c r="N32" i="19"/>
  <c r="M32" i="19"/>
  <c r="L32" i="19"/>
  <c r="K32" i="19"/>
  <c r="J32" i="19"/>
  <c r="I32" i="19"/>
  <c r="S32" i="19"/>
  <c r="H32" i="19"/>
  <c r="G32" i="19"/>
  <c r="F32" i="19"/>
  <c r="E32" i="19"/>
  <c r="D32" i="19"/>
  <c r="R31" i="19"/>
  <c r="Q31" i="19"/>
  <c r="P31" i="19"/>
  <c r="O31" i="19"/>
  <c r="N31" i="19"/>
  <c r="M31" i="19"/>
  <c r="L31" i="19"/>
  <c r="K31" i="19"/>
  <c r="J31" i="19"/>
  <c r="I31" i="19"/>
  <c r="H31" i="19"/>
  <c r="G31" i="19"/>
  <c r="F31" i="19"/>
  <c r="E31" i="19"/>
  <c r="D31" i="19"/>
  <c r="R27" i="19"/>
  <c r="O27" i="19"/>
  <c r="N27" i="19"/>
  <c r="M27" i="19"/>
  <c r="L27" i="19"/>
  <c r="K27" i="19"/>
  <c r="J27" i="19"/>
  <c r="I27" i="19"/>
  <c r="H27" i="19"/>
  <c r="G27" i="19"/>
  <c r="D27" i="19"/>
  <c r="R22" i="19"/>
  <c r="Q22" i="19"/>
  <c r="P22" i="19"/>
  <c r="O22" i="19"/>
  <c r="N22" i="19"/>
  <c r="M22" i="19"/>
  <c r="L22" i="19"/>
  <c r="K22" i="19"/>
  <c r="J22" i="19"/>
  <c r="I22" i="19"/>
  <c r="H22" i="19"/>
  <c r="G22" i="19"/>
  <c r="F22" i="19"/>
  <c r="E22" i="19"/>
  <c r="D22" i="19"/>
  <c r="R15" i="19"/>
  <c r="Q15" i="19"/>
  <c r="P15" i="19"/>
  <c r="O15" i="19"/>
  <c r="N15" i="19"/>
  <c r="M15" i="19"/>
  <c r="L15" i="19"/>
  <c r="K15" i="19"/>
  <c r="J15" i="19"/>
  <c r="I15" i="19"/>
  <c r="H15" i="19"/>
  <c r="G15" i="19"/>
  <c r="R161" i="26"/>
  <c r="R161" i="27"/>
  <c r="R161" i="28"/>
  <c r="R161" i="29"/>
  <c r="Q161" i="26"/>
  <c r="Q161" i="27"/>
  <c r="Q161" i="28"/>
  <c r="Q161" i="29"/>
  <c r="P161" i="26"/>
  <c r="P161" i="27"/>
  <c r="P161" i="28"/>
  <c r="P161" i="29"/>
  <c r="E161" i="26"/>
  <c r="E161" i="27"/>
  <c r="E161" i="28"/>
  <c r="E161" i="29"/>
  <c r="D161" i="26"/>
  <c r="D161" i="27"/>
  <c r="R160" i="26"/>
  <c r="R160" i="27"/>
  <c r="R160" i="28"/>
  <c r="R160" i="29"/>
  <c r="Q160" i="26"/>
  <c r="Q160" i="27"/>
  <c r="Q160" i="28"/>
  <c r="Q160" i="29"/>
  <c r="P160" i="26"/>
  <c r="P160" i="27"/>
  <c r="P160" i="28"/>
  <c r="P160" i="29"/>
  <c r="O160" i="26"/>
  <c r="N160" i="26"/>
  <c r="M160" i="26"/>
  <c r="L160" i="26"/>
  <c r="K160" i="26"/>
  <c r="J160" i="26"/>
  <c r="I160" i="26"/>
  <c r="H160" i="26"/>
  <c r="G160" i="26"/>
  <c r="F160" i="26"/>
  <c r="E160" i="26"/>
  <c r="D160" i="26"/>
  <c r="R159" i="26"/>
  <c r="R159" i="27"/>
  <c r="R159" i="28"/>
  <c r="R159" i="29"/>
  <c r="Q159" i="26"/>
  <c r="Q159" i="27"/>
  <c r="Q159" i="28"/>
  <c r="Q159" i="29"/>
  <c r="P159" i="26"/>
  <c r="P159" i="27"/>
  <c r="P159" i="28"/>
  <c r="P159" i="29"/>
  <c r="O159" i="26"/>
  <c r="N159" i="26"/>
  <c r="M159" i="26"/>
  <c r="L159" i="26"/>
  <c r="K159" i="26"/>
  <c r="J159" i="26"/>
  <c r="I159" i="26"/>
  <c r="H159" i="26"/>
  <c r="G159" i="26"/>
  <c r="F159" i="26"/>
  <c r="E159" i="26"/>
  <c r="D159" i="26"/>
  <c r="R158" i="26"/>
  <c r="R158" i="27"/>
  <c r="R158" i="28"/>
  <c r="R158" i="29"/>
  <c r="Q158" i="26"/>
  <c r="Q158" i="27"/>
  <c r="Q158" i="28"/>
  <c r="Q158" i="29"/>
  <c r="P158" i="26"/>
  <c r="P158" i="27"/>
  <c r="P158" i="28"/>
  <c r="P158" i="29"/>
  <c r="O158" i="26"/>
  <c r="O158" i="27"/>
  <c r="O158" i="28"/>
  <c r="N158" i="26"/>
  <c r="N158" i="27"/>
  <c r="N158" i="28"/>
  <c r="M158" i="26"/>
  <c r="M158" i="27"/>
  <c r="M158" i="28"/>
  <c r="L158" i="26"/>
  <c r="L158" i="27"/>
  <c r="L158" i="28"/>
  <c r="K158" i="26"/>
  <c r="K158" i="27"/>
  <c r="K158" i="28"/>
  <c r="J158" i="26"/>
  <c r="J158" i="27"/>
  <c r="J158" i="28"/>
  <c r="I158" i="26"/>
  <c r="I158" i="27"/>
  <c r="I158" i="28"/>
  <c r="H158" i="26"/>
  <c r="H158" i="27"/>
  <c r="H158" i="28"/>
  <c r="G158" i="26"/>
  <c r="G158" i="27"/>
  <c r="G158" i="28"/>
  <c r="F158" i="26"/>
  <c r="F158" i="27"/>
  <c r="F158" i="28"/>
  <c r="E158" i="26"/>
  <c r="E158" i="27"/>
  <c r="E158" i="28"/>
  <c r="D158" i="26"/>
  <c r="D158" i="27"/>
  <c r="R154" i="26"/>
  <c r="R154" i="27"/>
  <c r="R154" i="28"/>
  <c r="R154" i="29"/>
  <c r="Q154" i="26"/>
  <c r="Q154" i="27"/>
  <c r="Q154" i="28"/>
  <c r="Q154" i="29"/>
  <c r="P154" i="26"/>
  <c r="P154" i="27"/>
  <c r="P154" i="28"/>
  <c r="P154" i="29"/>
  <c r="O154" i="26"/>
  <c r="O154" i="27"/>
  <c r="O154" i="28"/>
  <c r="O154" i="29"/>
  <c r="N154" i="26"/>
  <c r="N154" i="27"/>
  <c r="N154" i="28"/>
  <c r="N154" i="29"/>
  <c r="M154" i="26"/>
  <c r="M154" i="27"/>
  <c r="M154" i="28"/>
  <c r="M154" i="29"/>
  <c r="L154" i="26"/>
  <c r="L154" i="27"/>
  <c r="L154" i="28"/>
  <c r="L154" i="29"/>
  <c r="K154" i="26"/>
  <c r="K154" i="27"/>
  <c r="K154" i="28"/>
  <c r="K154" i="29"/>
  <c r="J154" i="26"/>
  <c r="J154" i="27"/>
  <c r="J154" i="28"/>
  <c r="J154" i="29"/>
  <c r="I154" i="26"/>
  <c r="I154" i="27"/>
  <c r="I154" i="28"/>
  <c r="I154" i="29"/>
  <c r="H154" i="26"/>
  <c r="H154" i="27"/>
  <c r="H154" i="28"/>
  <c r="H154" i="29"/>
  <c r="G154" i="26"/>
  <c r="G154" i="27"/>
  <c r="G154" i="28"/>
  <c r="G154" i="29"/>
  <c r="F154" i="26"/>
  <c r="F154" i="27"/>
  <c r="F154" i="28"/>
  <c r="F154" i="29"/>
  <c r="E154" i="26"/>
  <c r="E154" i="27"/>
  <c r="E154" i="28"/>
  <c r="E154" i="29"/>
  <c r="D154" i="26"/>
  <c r="R153" i="26"/>
  <c r="R153" i="27"/>
  <c r="R153" i="28"/>
  <c r="R153" i="29"/>
  <c r="Q153" i="26"/>
  <c r="Q153" i="27"/>
  <c r="Q153" i="28"/>
  <c r="Q153" i="29"/>
  <c r="P153" i="26"/>
  <c r="P153" i="27"/>
  <c r="P153" i="28"/>
  <c r="P153" i="29"/>
  <c r="O153" i="26"/>
  <c r="O153" i="27"/>
  <c r="O153" i="28"/>
  <c r="O153" i="29"/>
  <c r="N153" i="26"/>
  <c r="N153" i="27"/>
  <c r="N153" i="28"/>
  <c r="N153" i="29"/>
  <c r="M153" i="26"/>
  <c r="M153" i="27"/>
  <c r="M153" i="28"/>
  <c r="M153" i="29"/>
  <c r="L153" i="26"/>
  <c r="L153" i="27"/>
  <c r="L153" i="28"/>
  <c r="L153" i="29"/>
  <c r="K153" i="26"/>
  <c r="K153" i="27"/>
  <c r="K153" i="28"/>
  <c r="K153" i="29"/>
  <c r="J153" i="26"/>
  <c r="J153" i="27"/>
  <c r="J153" i="28"/>
  <c r="J153" i="29"/>
  <c r="I153" i="26"/>
  <c r="I153" i="27"/>
  <c r="I153" i="28"/>
  <c r="I153" i="29"/>
  <c r="H153" i="26"/>
  <c r="H153" i="27"/>
  <c r="H153" i="28"/>
  <c r="H153" i="29"/>
  <c r="G153" i="26"/>
  <c r="G153" i="27"/>
  <c r="G153" i="28"/>
  <c r="G153" i="29"/>
  <c r="F153" i="26"/>
  <c r="F153" i="27"/>
  <c r="F153" i="28"/>
  <c r="F153" i="29"/>
  <c r="E153" i="26"/>
  <c r="E153" i="27"/>
  <c r="E153" i="28"/>
  <c r="E153" i="29"/>
  <c r="D153" i="26"/>
  <c r="R152" i="26"/>
  <c r="R152" i="27"/>
  <c r="R152" i="28"/>
  <c r="R152" i="29"/>
  <c r="Q152" i="26"/>
  <c r="Q152" i="27"/>
  <c r="Q152" i="28"/>
  <c r="Q152" i="29"/>
  <c r="P152" i="26"/>
  <c r="P152" i="27"/>
  <c r="P152" i="28"/>
  <c r="P152" i="29"/>
  <c r="O152" i="26"/>
  <c r="O152" i="27"/>
  <c r="O152" i="28"/>
  <c r="O152" i="29"/>
  <c r="N152" i="26"/>
  <c r="N152" i="27"/>
  <c r="N152" i="28"/>
  <c r="N152" i="29"/>
  <c r="M152" i="26"/>
  <c r="M152" i="27"/>
  <c r="M152" i="28"/>
  <c r="M152" i="29"/>
  <c r="L152" i="26"/>
  <c r="L152" i="27"/>
  <c r="L152" i="28"/>
  <c r="L152" i="29"/>
  <c r="K152" i="26"/>
  <c r="K152" i="27"/>
  <c r="K152" i="28"/>
  <c r="K152" i="29"/>
  <c r="J152" i="26"/>
  <c r="J152" i="27"/>
  <c r="J152" i="28"/>
  <c r="J152" i="29"/>
  <c r="I152" i="26"/>
  <c r="I152" i="27"/>
  <c r="I152" i="28"/>
  <c r="I152" i="29"/>
  <c r="H152" i="26"/>
  <c r="H152" i="27"/>
  <c r="H152" i="28"/>
  <c r="H152" i="29"/>
  <c r="G152" i="26"/>
  <c r="G152" i="27"/>
  <c r="G152" i="28"/>
  <c r="G152" i="29"/>
  <c r="F152" i="26"/>
  <c r="F152" i="27"/>
  <c r="F152" i="28"/>
  <c r="F152" i="29"/>
  <c r="E152" i="26"/>
  <c r="E152" i="27"/>
  <c r="E152" i="28"/>
  <c r="E152" i="29"/>
  <c r="D152" i="26"/>
  <c r="D152" i="27"/>
  <c r="R151" i="26"/>
  <c r="R151" i="27"/>
  <c r="R151" i="28"/>
  <c r="R151" i="29"/>
  <c r="Q151" i="26"/>
  <c r="Q151" i="27"/>
  <c r="Q151" i="28"/>
  <c r="Q151" i="29"/>
  <c r="P151" i="26"/>
  <c r="P151" i="27"/>
  <c r="P151" i="28"/>
  <c r="P151" i="29"/>
  <c r="O151" i="26"/>
  <c r="O151" i="27"/>
  <c r="O151" i="28"/>
  <c r="O151" i="29"/>
  <c r="N151" i="26"/>
  <c r="N151" i="27"/>
  <c r="N151" i="28"/>
  <c r="N151" i="29"/>
  <c r="M151" i="26"/>
  <c r="M151" i="27"/>
  <c r="M151" i="28"/>
  <c r="M151" i="29"/>
  <c r="L151" i="26"/>
  <c r="L151" i="27"/>
  <c r="L151" i="28"/>
  <c r="L151" i="29"/>
  <c r="K151" i="26"/>
  <c r="K151" i="27"/>
  <c r="K151" i="28"/>
  <c r="K151" i="29"/>
  <c r="J151" i="26"/>
  <c r="J151" i="27"/>
  <c r="J151" i="28"/>
  <c r="J151" i="29"/>
  <c r="I151" i="26"/>
  <c r="I151" i="27"/>
  <c r="I151" i="28"/>
  <c r="I151" i="29"/>
  <c r="H151" i="26"/>
  <c r="H151" i="27"/>
  <c r="H151" i="28"/>
  <c r="H151" i="29"/>
  <c r="G151" i="26"/>
  <c r="G151" i="27"/>
  <c r="G151" i="28"/>
  <c r="G151" i="29"/>
  <c r="F151" i="26"/>
  <c r="F151" i="27"/>
  <c r="F151" i="28"/>
  <c r="F151" i="29"/>
  <c r="E151" i="26"/>
  <c r="E151" i="27"/>
  <c r="E151" i="28"/>
  <c r="E151" i="29"/>
  <c r="D151" i="26"/>
  <c r="R147" i="26"/>
  <c r="R147" i="27"/>
  <c r="R147" i="28"/>
  <c r="R147" i="29"/>
  <c r="Q147" i="26"/>
  <c r="Q147" i="27"/>
  <c r="Q147" i="28"/>
  <c r="Q147" i="29"/>
  <c r="P147" i="26"/>
  <c r="P147" i="27"/>
  <c r="P147" i="28"/>
  <c r="P147" i="29"/>
  <c r="O147" i="26"/>
  <c r="O147" i="27"/>
  <c r="O147" i="28"/>
  <c r="O147" i="29"/>
  <c r="N147" i="26"/>
  <c r="N147" i="27"/>
  <c r="N147" i="28"/>
  <c r="N147" i="29"/>
  <c r="M147" i="26"/>
  <c r="M147" i="27"/>
  <c r="M147" i="28"/>
  <c r="M147" i="29"/>
  <c r="L147" i="26"/>
  <c r="L147" i="27"/>
  <c r="L147" i="28"/>
  <c r="L147" i="29"/>
  <c r="K147" i="26"/>
  <c r="K147" i="27"/>
  <c r="K147" i="28"/>
  <c r="K147" i="29"/>
  <c r="J147" i="26"/>
  <c r="J147" i="27"/>
  <c r="J147" i="28"/>
  <c r="J147" i="29"/>
  <c r="I147" i="26"/>
  <c r="I147" i="27"/>
  <c r="I147" i="28"/>
  <c r="I147" i="29"/>
  <c r="H147" i="26"/>
  <c r="H147" i="27"/>
  <c r="H147" i="28"/>
  <c r="H147" i="29"/>
  <c r="G147" i="26"/>
  <c r="G147" i="27"/>
  <c r="G147" i="28"/>
  <c r="G147" i="29"/>
  <c r="F147" i="26"/>
  <c r="F147" i="27"/>
  <c r="F147" i="28"/>
  <c r="F147" i="29"/>
  <c r="E147" i="26"/>
  <c r="D147" i="26"/>
  <c r="D147" i="27"/>
  <c r="R143" i="26"/>
  <c r="R143" i="27"/>
  <c r="R143" i="28"/>
  <c r="R143" i="29"/>
  <c r="Q143" i="26"/>
  <c r="Q143" i="27"/>
  <c r="Q143" i="28"/>
  <c r="Q143" i="29"/>
  <c r="P143" i="26"/>
  <c r="P143" i="27"/>
  <c r="P143" i="28"/>
  <c r="P143" i="29"/>
  <c r="O143" i="26"/>
  <c r="O143" i="27"/>
  <c r="O143" i="28"/>
  <c r="O143" i="29"/>
  <c r="N143" i="26"/>
  <c r="N143" i="27"/>
  <c r="N143" i="28"/>
  <c r="N143" i="29"/>
  <c r="M143" i="26"/>
  <c r="M143" i="27"/>
  <c r="M143" i="28"/>
  <c r="M143" i="29"/>
  <c r="L143" i="26"/>
  <c r="L143" i="27"/>
  <c r="L143" i="28"/>
  <c r="L143" i="29"/>
  <c r="K143" i="26"/>
  <c r="K143" i="27"/>
  <c r="K143" i="28"/>
  <c r="K143" i="29"/>
  <c r="J143" i="26"/>
  <c r="J143" i="27"/>
  <c r="J143" i="28"/>
  <c r="J143" i="29"/>
  <c r="I143" i="26"/>
  <c r="I143" i="27"/>
  <c r="I143" i="28"/>
  <c r="I143" i="29"/>
  <c r="H143" i="26"/>
  <c r="H143" i="27"/>
  <c r="H143" i="28"/>
  <c r="H143" i="29"/>
  <c r="G143" i="26"/>
  <c r="G143" i="27"/>
  <c r="G143" i="28"/>
  <c r="G143" i="29"/>
  <c r="F143" i="26"/>
  <c r="F143" i="27"/>
  <c r="F143" i="28"/>
  <c r="F143" i="29"/>
  <c r="E143" i="26"/>
  <c r="E143" i="27"/>
  <c r="E143" i="28"/>
  <c r="E143" i="29"/>
  <c r="D143" i="26"/>
  <c r="D143" i="27"/>
  <c r="R142" i="26"/>
  <c r="R142" i="27"/>
  <c r="R142" i="28"/>
  <c r="R142" i="29"/>
  <c r="Q142" i="26"/>
  <c r="Q142" i="27"/>
  <c r="Q142" i="28"/>
  <c r="Q142" i="29"/>
  <c r="P142" i="26"/>
  <c r="P142" i="27"/>
  <c r="P142" i="28"/>
  <c r="P142" i="29"/>
  <c r="O142" i="26"/>
  <c r="O142" i="27"/>
  <c r="O142" i="28"/>
  <c r="O142" i="29"/>
  <c r="N142" i="26"/>
  <c r="N142" i="27"/>
  <c r="N142" i="28"/>
  <c r="N142" i="29"/>
  <c r="M142" i="26"/>
  <c r="M142" i="27"/>
  <c r="M142" i="28"/>
  <c r="M142" i="29"/>
  <c r="L142" i="26"/>
  <c r="L142" i="27"/>
  <c r="L142" i="28"/>
  <c r="L142" i="29"/>
  <c r="K142" i="26"/>
  <c r="K142" i="27"/>
  <c r="K142" i="28"/>
  <c r="K142" i="29"/>
  <c r="J142" i="26"/>
  <c r="J142" i="27"/>
  <c r="J142" i="28"/>
  <c r="J142" i="29"/>
  <c r="I142" i="26"/>
  <c r="I142" i="27"/>
  <c r="I142" i="28"/>
  <c r="I142" i="29"/>
  <c r="H142" i="26"/>
  <c r="H142" i="27"/>
  <c r="H142" i="28"/>
  <c r="H142" i="29"/>
  <c r="G142" i="26"/>
  <c r="G142" i="27"/>
  <c r="G142" i="28"/>
  <c r="G142" i="29"/>
  <c r="F142" i="26"/>
  <c r="F142" i="27"/>
  <c r="F142" i="28"/>
  <c r="F142" i="29"/>
  <c r="E142" i="26"/>
  <c r="E142" i="27"/>
  <c r="E142" i="28"/>
  <c r="E142" i="29"/>
  <c r="D142" i="26"/>
  <c r="R132" i="26"/>
  <c r="R132" i="27"/>
  <c r="R132" i="28"/>
  <c r="R132" i="29"/>
  <c r="Q132" i="26"/>
  <c r="Q132" i="27"/>
  <c r="Q132" i="28"/>
  <c r="Q132" i="29"/>
  <c r="P132" i="26"/>
  <c r="P132" i="27"/>
  <c r="P132" i="28"/>
  <c r="P132" i="29"/>
  <c r="O132" i="26"/>
  <c r="O132" i="27"/>
  <c r="O132" i="28"/>
  <c r="O132" i="29"/>
  <c r="N132" i="26"/>
  <c r="N132" i="27"/>
  <c r="N132" i="28"/>
  <c r="N132" i="29"/>
  <c r="M132" i="26"/>
  <c r="M132" i="27"/>
  <c r="M132" i="28"/>
  <c r="M132" i="29"/>
  <c r="L132" i="26"/>
  <c r="L132" i="27"/>
  <c r="L132" i="28"/>
  <c r="L132" i="29"/>
  <c r="K132" i="26"/>
  <c r="K132" i="27"/>
  <c r="K132" i="28"/>
  <c r="K132" i="29"/>
  <c r="J132" i="26"/>
  <c r="J132" i="27"/>
  <c r="J132" i="28"/>
  <c r="J132" i="29"/>
  <c r="I132" i="26"/>
  <c r="I132" i="27"/>
  <c r="I132" i="28"/>
  <c r="I132" i="29"/>
  <c r="H132" i="26"/>
  <c r="H132" i="27"/>
  <c r="H132" i="28"/>
  <c r="H132" i="29"/>
  <c r="G132" i="26"/>
  <c r="G132" i="27"/>
  <c r="G132" i="28"/>
  <c r="G132" i="29"/>
  <c r="F132" i="26"/>
  <c r="F132" i="27"/>
  <c r="F132" i="28"/>
  <c r="F132" i="29"/>
  <c r="E132" i="26"/>
  <c r="E132" i="27"/>
  <c r="E132" i="28"/>
  <c r="E132" i="29"/>
  <c r="D132" i="26"/>
  <c r="D132" i="27"/>
  <c r="R131" i="26"/>
  <c r="R131" i="27"/>
  <c r="R131" i="28"/>
  <c r="R131" i="29"/>
  <c r="Q131" i="26"/>
  <c r="Q131" i="27"/>
  <c r="Q131" i="28"/>
  <c r="Q131" i="29"/>
  <c r="P131" i="26"/>
  <c r="P131" i="27"/>
  <c r="P131" i="28"/>
  <c r="P131" i="29"/>
  <c r="O131" i="26"/>
  <c r="O131" i="27"/>
  <c r="N131" i="26"/>
  <c r="N131" i="27"/>
  <c r="M131" i="26"/>
  <c r="M131" i="27"/>
  <c r="L131" i="26"/>
  <c r="L131" i="27"/>
  <c r="K131" i="26"/>
  <c r="K131" i="27"/>
  <c r="J131" i="26"/>
  <c r="J131" i="27"/>
  <c r="I131" i="26"/>
  <c r="I131" i="27"/>
  <c r="H131" i="26"/>
  <c r="H131" i="27"/>
  <c r="G131" i="26"/>
  <c r="G131" i="27"/>
  <c r="F131" i="26"/>
  <c r="F131" i="27"/>
  <c r="E131" i="26"/>
  <c r="E131" i="27"/>
  <c r="D131" i="26"/>
  <c r="R130" i="26"/>
  <c r="R130" i="27"/>
  <c r="R130" i="28"/>
  <c r="R130" i="29"/>
  <c r="Q130" i="26"/>
  <c r="Q130" i="27"/>
  <c r="Q130" i="28"/>
  <c r="Q130" i="29"/>
  <c r="P130" i="26"/>
  <c r="P130" i="27"/>
  <c r="P130" i="28"/>
  <c r="P130" i="29"/>
  <c r="O130" i="26"/>
  <c r="O130" i="27"/>
  <c r="O130" i="28"/>
  <c r="O130" i="29"/>
  <c r="N130" i="26"/>
  <c r="N130" i="27"/>
  <c r="M130" i="26"/>
  <c r="M130" i="27"/>
  <c r="L130" i="26"/>
  <c r="L130" i="27"/>
  <c r="K130" i="26"/>
  <c r="K130" i="27"/>
  <c r="J130" i="26"/>
  <c r="J130" i="27"/>
  <c r="J130" i="28"/>
  <c r="J130" i="29"/>
  <c r="I130" i="26"/>
  <c r="I130" i="27"/>
  <c r="I130" i="28"/>
  <c r="H130" i="26"/>
  <c r="H130" i="27"/>
  <c r="H130" i="28"/>
  <c r="H130" i="29"/>
  <c r="G130" i="26"/>
  <c r="G130" i="27"/>
  <c r="G130" i="28"/>
  <c r="G130" i="29"/>
  <c r="F130" i="26"/>
  <c r="F130" i="27"/>
  <c r="F130" i="28"/>
  <c r="F130" i="29"/>
  <c r="E130" i="26"/>
  <c r="E130" i="27"/>
  <c r="E130" i="28"/>
  <c r="E130" i="29"/>
  <c r="D130" i="26"/>
  <c r="D130" i="27"/>
  <c r="D130" i="28"/>
  <c r="D130" i="29"/>
  <c r="R129" i="26"/>
  <c r="R129" i="27"/>
  <c r="R129" i="28"/>
  <c r="R129" i="29"/>
  <c r="Q129" i="26"/>
  <c r="Q129" i="27"/>
  <c r="Q129" i="28"/>
  <c r="Q129" i="29"/>
  <c r="P129" i="26"/>
  <c r="P129" i="27"/>
  <c r="P129" i="28"/>
  <c r="P129" i="29"/>
  <c r="O129" i="26"/>
  <c r="O129" i="27"/>
  <c r="O129" i="28"/>
  <c r="O129" i="29"/>
  <c r="N129" i="26"/>
  <c r="N129" i="27"/>
  <c r="N129" i="28"/>
  <c r="N129" i="29"/>
  <c r="M129" i="26"/>
  <c r="M129" i="27"/>
  <c r="M129" i="28"/>
  <c r="M129" i="29"/>
  <c r="L129" i="26"/>
  <c r="L129" i="27"/>
  <c r="L129" i="28"/>
  <c r="L129" i="29"/>
  <c r="K129" i="26"/>
  <c r="K129" i="27"/>
  <c r="K129" i="28"/>
  <c r="K129" i="29"/>
  <c r="J129" i="26"/>
  <c r="J129" i="27"/>
  <c r="J129" i="28"/>
  <c r="J129" i="29"/>
  <c r="I129" i="26"/>
  <c r="I129" i="27"/>
  <c r="I129" i="28"/>
  <c r="I129" i="29"/>
  <c r="H129" i="26"/>
  <c r="H129" i="27"/>
  <c r="H129" i="28"/>
  <c r="H129" i="29"/>
  <c r="G129" i="26"/>
  <c r="G129" i="27"/>
  <c r="G129" i="28"/>
  <c r="G129" i="29"/>
  <c r="F129" i="26"/>
  <c r="F129" i="27"/>
  <c r="F129" i="28"/>
  <c r="F129" i="29"/>
  <c r="E129" i="26"/>
  <c r="E129" i="27"/>
  <c r="E129" i="28"/>
  <c r="E129" i="29"/>
  <c r="D129" i="26"/>
  <c r="R128" i="26"/>
  <c r="R128" i="27"/>
  <c r="R128" i="28"/>
  <c r="R128" i="29"/>
  <c r="Q128" i="26"/>
  <c r="Q128" i="27"/>
  <c r="Q128" i="28"/>
  <c r="Q128" i="29"/>
  <c r="P128" i="26"/>
  <c r="P128" i="27"/>
  <c r="P128" i="28"/>
  <c r="P128" i="29"/>
  <c r="O128" i="26"/>
  <c r="O128" i="27"/>
  <c r="O128" i="28"/>
  <c r="O128" i="29"/>
  <c r="N128" i="26"/>
  <c r="N128" i="27"/>
  <c r="N128" i="28"/>
  <c r="N128" i="29"/>
  <c r="M128" i="26"/>
  <c r="M128" i="27"/>
  <c r="M128" i="28"/>
  <c r="M128" i="29"/>
  <c r="L128" i="26"/>
  <c r="L128" i="27"/>
  <c r="L128" i="28"/>
  <c r="L128" i="29"/>
  <c r="K128" i="26"/>
  <c r="K128" i="27"/>
  <c r="K128" i="28"/>
  <c r="K128" i="29"/>
  <c r="J128" i="26"/>
  <c r="J128" i="27"/>
  <c r="J128" i="28"/>
  <c r="J128" i="29"/>
  <c r="I128" i="26"/>
  <c r="I128" i="27"/>
  <c r="I128" i="28"/>
  <c r="I128" i="29"/>
  <c r="H128" i="26"/>
  <c r="H128" i="27"/>
  <c r="H128" i="28"/>
  <c r="H128" i="29"/>
  <c r="G128" i="26"/>
  <c r="G128" i="27"/>
  <c r="G128" i="28"/>
  <c r="G128" i="29"/>
  <c r="F128" i="26"/>
  <c r="F128" i="27"/>
  <c r="F128" i="28"/>
  <c r="F128" i="29"/>
  <c r="E128" i="26"/>
  <c r="D128" i="26"/>
  <c r="D128" i="27"/>
  <c r="D128" i="28"/>
  <c r="R127" i="26"/>
  <c r="R127" i="27"/>
  <c r="R127" i="28"/>
  <c r="R127" i="29"/>
  <c r="Q127" i="26"/>
  <c r="Q127" i="27"/>
  <c r="Q127" i="28"/>
  <c r="Q127" i="29"/>
  <c r="P127" i="26"/>
  <c r="P127" i="27"/>
  <c r="P127" i="28"/>
  <c r="P127" i="29"/>
  <c r="O127" i="26"/>
  <c r="O127" i="27"/>
  <c r="O127" i="28"/>
  <c r="O127" i="29"/>
  <c r="N127" i="26"/>
  <c r="N127" i="27"/>
  <c r="N127" i="28"/>
  <c r="N127" i="29"/>
  <c r="M127" i="26"/>
  <c r="M127" i="27"/>
  <c r="M127" i="28"/>
  <c r="M127" i="29"/>
  <c r="L127" i="26"/>
  <c r="L127" i="27"/>
  <c r="L127" i="28"/>
  <c r="L127" i="29"/>
  <c r="K127" i="26"/>
  <c r="K127" i="27"/>
  <c r="K127" i="28"/>
  <c r="K127" i="29"/>
  <c r="J127" i="26"/>
  <c r="J127" i="27"/>
  <c r="J127" i="28"/>
  <c r="J127" i="29"/>
  <c r="I127" i="26"/>
  <c r="I127" i="27"/>
  <c r="I127" i="28"/>
  <c r="I127" i="29"/>
  <c r="H127" i="26"/>
  <c r="H127" i="27"/>
  <c r="H127" i="28"/>
  <c r="H127" i="29"/>
  <c r="G127" i="26"/>
  <c r="G127" i="27"/>
  <c r="G127" i="28"/>
  <c r="G127" i="29"/>
  <c r="F127" i="26"/>
  <c r="F127" i="27"/>
  <c r="F127" i="28"/>
  <c r="F127" i="29"/>
  <c r="E127" i="26"/>
  <c r="E127" i="27"/>
  <c r="E127" i="28"/>
  <c r="E127" i="29"/>
  <c r="D127" i="26"/>
  <c r="R126" i="26"/>
  <c r="R126" i="27"/>
  <c r="R126" i="28"/>
  <c r="R126" i="29"/>
  <c r="Q126" i="26"/>
  <c r="Q126" i="27"/>
  <c r="Q126" i="28"/>
  <c r="Q126" i="29"/>
  <c r="P126" i="26"/>
  <c r="P126" i="27"/>
  <c r="P126" i="28"/>
  <c r="P126" i="29"/>
  <c r="O126" i="26"/>
  <c r="O126" i="27"/>
  <c r="N126" i="26"/>
  <c r="N126" i="27"/>
  <c r="M126" i="26"/>
  <c r="M126" i="27"/>
  <c r="L126" i="26"/>
  <c r="L126" i="27"/>
  <c r="K126" i="26"/>
  <c r="K126" i="27"/>
  <c r="J126" i="26"/>
  <c r="J126" i="27"/>
  <c r="I126" i="26"/>
  <c r="I126" i="27"/>
  <c r="H126" i="26"/>
  <c r="H126" i="27"/>
  <c r="G126" i="26"/>
  <c r="G126" i="27"/>
  <c r="F126" i="26"/>
  <c r="F126" i="27"/>
  <c r="E126" i="26"/>
  <c r="E126" i="27"/>
  <c r="D126" i="26"/>
  <c r="D126" i="27"/>
  <c r="R125" i="26"/>
  <c r="R125" i="27"/>
  <c r="R125" i="28"/>
  <c r="R125" i="29"/>
  <c r="Q125" i="26"/>
  <c r="Q125" i="27"/>
  <c r="Q125" i="28"/>
  <c r="Q125" i="29"/>
  <c r="P125" i="26"/>
  <c r="P125" i="27"/>
  <c r="P125" i="28"/>
  <c r="P125" i="29"/>
  <c r="O125" i="26"/>
  <c r="O125" i="27"/>
  <c r="O125" i="28"/>
  <c r="O125" i="29"/>
  <c r="N125" i="26"/>
  <c r="N125" i="27"/>
  <c r="N125" i="28"/>
  <c r="N125" i="29"/>
  <c r="M125" i="26"/>
  <c r="M125" i="27"/>
  <c r="M125" i="28"/>
  <c r="M125" i="29"/>
  <c r="L125" i="26"/>
  <c r="L125" i="27"/>
  <c r="L125" i="28"/>
  <c r="L125" i="29"/>
  <c r="K125" i="26"/>
  <c r="K125" i="27"/>
  <c r="K125" i="28"/>
  <c r="K125" i="29"/>
  <c r="J125" i="26"/>
  <c r="J125" i="27"/>
  <c r="J125" i="28"/>
  <c r="J125" i="29"/>
  <c r="I125" i="26"/>
  <c r="I125" i="27"/>
  <c r="I125" i="28"/>
  <c r="I125" i="29"/>
  <c r="H125" i="26"/>
  <c r="H125" i="27"/>
  <c r="H125" i="28"/>
  <c r="H125" i="29"/>
  <c r="G125" i="26"/>
  <c r="G125" i="27"/>
  <c r="G125" i="28"/>
  <c r="G125" i="29"/>
  <c r="F125" i="26"/>
  <c r="F125" i="27"/>
  <c r="F125" i="28"/>
  <c r="F125" i="29"/>
  <c r="E125" i="26"/>
  <c r="E125" i="27"/>
  <c r="E125" i="28"/>
  <c r="E125" i="29"/>
  <c r="D125" i="26"/>
  <c r="R124" i="26"/>
  <c r="R124" i="27"/>
  <c r="R124" i="28"/>
  <c r="R124" i="29"/>
  <c r="Q124" i="26"/>
  <c r="Q124" i="27"/>
  <c r="Q124" i="28"/>
  <c r="Q124" i="29"/>
  <c r="P124" i="26"/>
  <c r="P124" i="27"/>
  <c r="P124" i="28"/>
  <c r="P124" i="29"/>
  <c r="O124" i="26"/>
  <c r="O124" i="27"/>
  <c r="O124" i="28"/>
  <c r="O124" i="29"/>
  <c r="N124" i="26"/>
  <c r="N124" i="27"/>
  <c r="N124" i="28"/>
  <c r="N124" i="29"/>
  <c r="M124" i="26"/>
  <c r="M124" i="27"/>
  <c r="M124" i="28"/>
  <c r="M124" i="29"/>
  <c r="L124" i="26"/>
  <c r="L124" i="27"/>
  <c r="L124" i="28"/>
  <c r="L124" i="29"/>
  <c r="K124" i="26"/>
  <c r="K124" i="27"/>
  <c r="K124" i="28"/>
  <c r="K124" i="29"/>
  <c r="J124" i="26"/>
  <c r="J124" i="27"/>
  <c r="J124" i="28"/>
  <c r="J124" i="29"/>
  <c r="I124" i="26"/>
  <c r="I124" i="27"/>
  <c r="I124" i="28"/>
  <c r="I124" i="29"/>
  <c r="H124" i="26"/>
  <c r="H124" i="27"/>
  <c r="H124" i="28"/>
  <c r="H124" i="29"/>
  <c r="G124" i="26"/>
  <c r="G124" i="27"/>
  <c r="G124" i="28"/>
  <c r="G124" i="29"/>
  <c r="F124" i="26"/>
  <c r="F124" i="27"/>
  <c r="F124" i="28"/>
  <c r="F124" i="29"/>
  <c r="E124" i="26"/>
  <c r="E124" i="27"/>
  <c r="E124" i="28"/>
  <c r="E124" i="29"/>
  <c r="D124" i="26"/>
  <c r="D124" i="27"/>
  <c r="D124" i="28"/>
  <c r="R123" i="26"/>
  <c r="R123" i="27"/>
  <c r="R123" i="28"/>
  <c r="R123" i="29"/>
  <c r="Q123" i="26"/>
  <c r="Q123" i="27"/>
  <c r="Q123" i="28"/>
  <c r="Q123" i="29"/>
  <c r="P123" i="26"/>
  <c r="P123" i="27"/>
  <c r="P123" i="28"/>
  <c r="P123" i="29"/>
  <c r="O123" i="26"/>
  <c r="O123" i="27"/>
  <c r="O123" i="28"/>
  <c r="O123" i="29"/>
  <c r="N123" i="26"/>
  <c r="N123" i="27"/>
  <c r="N123" i="28"/>
  <c r="N123" i="29"/>
  <c r="M123" i="26"/>
  <c r="M123" i="27"/>
  <c r="M123" i="28"/>
  <c r="M123" i="29"/>
  <c r="L123" i="26"/>
  <c r="L123" i="27"/>
  <c r="L123" i="28"/>
  <c r="L123" i="29"/>
  <c r="K123" i="26"/>
  <c r="K123" i="27"/>
  <c r="K123" i="28"/>
  <c r="K123" i="29"/>
  <c r="J123" i="26"/>
  <c r="J123" i="27"/>
  <c r="J123" i="28"/>
  <c r="J123" i="29"/>
  <c r="I123" i="26"/>
  <c r="I123" i="27"/>
  <c r="I123" i="28"/>
  <c r="I123" i="29"/>
  <c r="H123" i="26"/>
  <c r="H123" i="27"/>
  <c r="H123" i="28"/>
  <c r="H123" i="29"/>
  <c r="G123" i="26"/>
  <c r="G123" i="27"/>
  <c r="G123" i="28"/>
  <c r="G123" i="29"/>
  <c r="F123" i="26"/>
  <c r="F123" i="27"/>
  <c r="F123" i="28"/>
  <c r="F123" i="29"/>
  <c r="E123" i="26"/>
  <c r="E123" i="27"/>
  <c r="E123" i="28"/>
  <c r="E123" i="29"/>
  <c r="D123" i="26"/>
  <c r="R122" i="26"/>
  <c r="R122" i="27"/>
  <c r="R122" i="28"/>
  <c r="R122" i="29"/>
  <c r="Q122" i="26"/>
  <c r="Q122" i="27"/>
  <c r="Q122" i="28"/>
  <c r="Q122" i="29"/>
  <c r="P122" i="26"/>
  <c r="P122" i="27"/>
  <c r="P122" i="28"/>
  <c r="P122" i="29"/>
  <c r="O122" i="26"/>
  <c r="O122" i="27"/>
  <c r="O122" i="28"/>
  <c r="O122" i="29"/>
  <c r="N122" i="26"/>
  <c r="N122" i="27"/>
  <c r="N122" i="28"/>
  <c r="N122" i="29"/>
  <c r="M122" i="26"/>
  <c r="M122" i="27"/>
  <c r="M122" i="28"/>
  <c r="M122" i="29"/>
  <c r="L122" i="26"/>
  <c r="L122" i="27"/>
  <c r="L122" i="28"/>
  <c r="L122" i="29"/>
  <c r="K122" i="26"/>
  <c r="K122" i="27"/>
  <c r="K122" i="28"/>
  <c r="K122" i="29"/>
  <c r="J122" i="26"/>
  <c r="J122" i="27"/>
  <c r="J122" i="28"/>
  <c r="J122" i="29"/>
  <c r="I122" i="26"/>
  <c r="I122" i="27"/>
  <c r="I122" i="28"/>
  <c r="I122" i="29"/>
  <c r="H122" i="26"/>
  <c r="H122" i="27"/>
  <c r="H122" i="28"/>
  <c r="H122" i="29"/>
  <c r="G122" i="26"/>
  <c r="G122" i="27"/>
  <c r="G122" i="28"/>
  <c r="G122" i="29"/>
  <c r="F122" i="26"/>
  <c r="F122" i="27"/>
  <c r="F122" i="28"/>
  <c r="F122" i="29"/>
  <c r="E122" i="26"/>
  <c r="E122" i="27"/>
  <c r="E122" i="28"/>
  <c r="E122" i="29"/>
  <c r="D122" i="26"/>
  <c r="D122" i="27"/>
  <c r="D122" i="28"/>
  <c r="R121" i="26"/>
  <c r="R121" i="27"/>
  <c r="R121" i="28"/>
  <c r="R121" i="29"/>
  <c r="Q121" i="26"/>
  <c r="Q121" i="27"/>
  <c r="Q121" i="28"/>
  <c r="Q121" i="29"/>
  <c r="P121" i="26"/>
  <c r="P121" i="27"/>
  <c r="P121" i="28"/>
  <c r="P121" i="29"/>
  <c r="O121" i="26"/>
  <c r="O121" i="27"/>
  <c r="O121" i="28"/>
  <c r="O121" i="29"/>
  <c r="N121" i="26"/>
  <c r="N121" i="27"/>
  <c r="N121" i="28"/>
  <c r="N121" i="29"/>
  <c r="M121" i="26"/>
  <c r="M121" i="27"/>
  <c r="M121" i="28"/>
  <c r="M121" i="29"/>
  <c r="L121" i="26"/>
  <c r="L121" i="27"/>
  <c r="L121" i="28"/>
  <c r="L121" i="29"/>
  <c r="K121" i="26"/>
  <c r="K121" i="27"/>
  <c r="K121" i="28"/>
  <c r="K121" i="29"/>
  <c r="J121" i="26"/>
  <c r="J121" i="27"/>
  <c r="J121" i="28"/>
  <c r="J121" i="29"/>
  <c r="I121" i="26"/>
  <c r="I121" i="27"/>
  <c r="I121" i="28"/>
  <c r="I121" i="29"/>
  <c r="H121" i="26"/>
  <c r="H121" i="27"/>
  <c r="H121" i="28"/>
  <c r="H121" i="29"/>
  <c r="G121" i="26"/>
  <c r="G121" i="27"/>
  <c r="G121" i="28"/>
  <c r="G121" i="29"/>
  <c r="F121" i="26"/>
  <c r="F121" i="27"/>
  <c r="F121" i="28"/>
  <c r="F121" i="29"/>
  <c r="E121" i="26"/>
  <c r="E121" i="27"/>
  <c r="E121" i="28"/>
  <c r="E121" i="29"/>
  <c r="D121" i="26"/>
  <c r="R120" i="26"/>
  <c r="R120" i="27"/>
  <c r="R120" i="28"/>
  <c r="R120" i="29"/>
  <c r="Q120" i="26"/>
  <c r="Q120" i="27"/>
  <c r="Q120" i="28"/>
  <c r="Q120" i="29"/>
  <c r="P120" i="26"/>
  <c r="P120" i="27"/>
  <c r="P120" i="28"/>
  <c r="P120" i="29"/>
  <c r="O120" i="26"/>
  <c r="O120" i="27"/>
  <c r="O120" i="28"/>
  <c r="O120" i="29"/>
  <c r="N120" i="26"/>
  <c r="N120" i="27"/>
  <c r="N120" i="28"/>
  <c r="N120" i="29"/>
  <c r="M120" i="26"/>
  <c r="M120" i="27"/>
  <c r="M120" i="28"/>
  <c r="M120" i="29"/>
  <c r="L120" i="26"/>
  <c r="L120" i="27"/>
  <c r="L120" i="28"/>
  <c r="L120" i="29"/>
  <c r="K120" i="26"/>
  <c r="K120" i="27"/>
  <c r="K120" i="28"/>
  <c r="K120" i="29"/>
  <c r="J120" i="26"/>
  <c r="J120" i="27"/>
  <c r="J120" i="28"/>
  <c r="J120" i="29"/>
  <c r="I120" i="26"/>
  <c r="I120" i="27"/>
  <c r="I120" i="28"/>
  <c r="I120" i="29"/>
  <c r="H120" i="26"/>
  <c r="H120" i="27"/>
  <c r="H120" i="28"/>
  <c r="H120" i="29"/>
  <c r="G120" i="26"/>
  <c r="G120" i="27"/>
  <c r="G120" i="28"/>
  <c r="G120" i="29"/>
  <c r="F120" i="26"/>
  <c r="F120" i="27"/>
  <c r="F120" i="28"/>
  <c r="F120" i="29"/>
  <c r="E120" i="26"/>
  <c r="E120" i="27"/>
  <c r="E120" i="28"/>
  <c r="E120" i="29"/>
  <c r="D120" i="26"/>
  <c r="D120" i="27"/>
  <c r="D120" i="28"/>
  <c r="R119" i="26"/>
  <c r="R119" i="27"/>
  <c r="R119" i="28"/>
  <c r="R119" i="29"/>
  <c r="Q119" i="26"/>
  <c r="Q119" i="27"/>
  <c r="Q119" i="28"/>
  <c r="Q119" i="29"/>
  <c r="P119" i="26"/>
  <c r="P119" i="27"/>
  <c r="P119" i="28"/>
  <c r="P119" i="29"/>
  <c r="O119" i="26"/>
  <c r="O119" i="27"/>
  <c r="O119" i="28"/>
  <c r="O119" i="29"/>
  <c r="N119" i="26"/>
  <c r="N119" i="27"/>
  <c r="N119" i="28"/>
  <c r="N119" i="29"/>
  <c r="M119" i="26"/>
  <c r="M119" i="27"/>
  <c r="M119" i="28"/>
  <c r="M119" i="29"/>
  <c r="L119" i="26"/>
  <c r="L119" i="27"/>
  <c r="L119" i="28"/>
  <c r="L119" i="29"/>
  <c r="K119" i="26"/>
  <c r="K119" i="27"/>
  <c r="K119" i="28"/>
  <c r="K119" i="29"/>
  <c r="J119" i="26"/>
  <c r="J119" i="27"/>
  <c r="J119" i="28"/>
  <c r="J119" i="29"/>
  <c r="I119" i="26"/>
  <c r="I119" i="27"/>
  <c r="I119" i="28"/>
  <c r="I119" i="29"/>
  <c r="H119" i="26"/>
  <c r="H119" i="27"/>
  <c r="H119" i="28"/>
  <c r="H119" i="29"/>
  <c r="G119" i="26"/>
  <c r="G119" i="27"/>
  <c r="G119" i="28"/>
  <c r="G119" i="29"/>
  <c r="F119" i="26"/>
  <c r="F119" i="27"/>
  <c r="F119" i="28"/>
  <c r="F119" i="29"/>
  <c r="E119" i="26"/>
  <c r="E119" i="27"/>
  <c r="E119" i="28"/>
  <c r="E119" i="29"/>
  <c r="D119" i="26"/>
  <c r="R118" i="26"/>
  <c r="R118" i="27"/>
  <c r="R118" i="28"/>
  <c r="R118" i="29"/>
  <c r="Q118" i="26"/>
  <c r="Q118" i="27"/>
  <c r="Q118" i="28"/>
  <c r="Q118" i="29"/>
  <c r="P118" i="26"/>
  <c r="P118" i="27"/>
  <c r="P118" i="28"/>
  <c r="P118" i="29"/>
  <c r="O118" i="26"/>
  <c r="O118" i="27"/>
  <c r="O118" i="28"/>
  <c r="O118" i="29"/>
  <c r="N118" i="26"/>
  <c r="N118" i="27"/>
  <c r="N118" i="28"/>
  <c r="N118" i="29"/>
  <c r="M118" i="26"/>
  <c r="M118" i="27"/>
  <c r="M118" i="28"/>
  <c r="M118" i="29"/>
  <c r="L118" i="26"/>
  <c r="L118" i="27"/>
  <c r="L118" i="28"/>
  <c r="L118" i="29"/>
  <c r="K118" i="26"/>
  <c r="K118" i="27"/>
  <c r="K118" i="28"/>
  <c r="K118" i="29"/>
  <c r="J118" i="26"/>
  <c r="J118" i="27"/>
  <c r="J118" i="28"/>
  <c r="J118" i="29"/>
  <c r="I118" i="26"/>
  <c r="I118" i="27"/>
  <c r="I118" i="28"/>
  <c r="I118" i="29"/>
  <c r="H118" i="26"/>
  <c r="H118" i="27"/>
  <c r="H118" i="28"/>
  <c r="H118" i="29"/>
  <c r="G118" i="26"/>
  <c r="G118" i="27"/>
  <c r="G118" i="28"/>
  <c r="G118" i="29"/>
  <c r="F118" i="26"/>
  <c r="F118" i="27"/>
  <c r="F118" i="28"/>
  <c r="F118" i="29"/>
  <c r="E118" i="26"/>
  <c r="E118" i="27"/>
  <c r="E118" i="28"/>
  <c r="E118" i="29"/>
  <c r="D118" i="26"/>
  <c r="D118" i="27"/>
  <c r="D118" i="28"/>
  <c r="R117" i="26"/>
  <c r="R117" i="27"/>
  <c r="R117" i="28"/>
  <c r="R117" i="29"/>
  <c r="Q117" i="26"/>
  <c r="Q117" i="27"/>
  <c r="Q117" i="28"/>
  <c r="Q117" i="29"/>
  <c r="P117" i="26"/>
  <c r="P117" i="27"/>
  <c r="P117" i="28"/>
  <c r="P117" i="29"/>
  <c r="O117" i="26"/>
  <c r="O117" i="27"/>
  <c r="O117" i="28"/>
  <c r="O117" i="29"/>
  <c r="N117" i="26"/>
  <c r="N117" i="27"/>
  <c r="N117" i="28"/>
  <c r="N117" i="29"/>
  <c r="M117" i="26"/>
  <c r="M117" i="27"/>
  <c r="M117" i="28"/>
  <c r="M117" i="29"/>
  <c r="L117" i="26"/>
  <c r="L117" i="27"/>
  <c r="L117" i="28"/>
  <c r="L117" i="29"/>
  <c r="K117" i="26"/>
  <c r="K117" i="27"/>
  <c r="K117" i="28"/>
  <c r="K117" i="29"/>
  <c r="J117" i="26"/>
  <c r="J117" i="27"/>
  <c r="J117" i="28"/>
  <c r="J117" i="29"/>
  <c r="I117" i="26"/>
  <c r="I117" i="27"/>
  <c r="I117" i="28"/>
  <c r="I117" i="29"/>
  <c r="H117" i="26"/>
  <c r="H117" i="27"/>
  <c r="H117" i="28"/>
  <c r="H117" i="29"/>
  <c r="G117" i="26"/>
  <c r="G117" i="27"/>
  <c r="G117" i="28"/>
  <c r="G117" i="29"/>
  <c r="F117" i="26"/>
  <c r="F117" i="27"/>
  <c r="F117" i="28"/>
  <c r="F117" i="29"/>
  <c r="E117" i="26"/>
  <c r="E117" i="27"/>
  <c r="E117" i="28"/>
  <c r="E117" i="29"/>
  <c r="D117" i="26"/>
  <c r="R116" i="26"/>
  <c r="R116" i="27"/>
  <c r="R116" i="28"/>
  <c r="R116" i="29"/>
  <c r="Q116" i="26"/>
  <c r="Q116" i="27"/>
  <c r="Q116" i="28"/>
  <c r="Q116" i="29"/>
  <c r="P116" i="26"/>
  <c r="P116" i="27"/>
  <c r="P116" i="28"/>
  <c r="P116" i="29"/>
  <c r="O116" i="26"/>
  <c r="O116" i="27"/>
  <c r="O116" i="28"/>
  <c r="O116" i="29"/>
  <c r="N116" i="26"/>
  <c r="N116" i="27"/>
  <c r="N116" i="28"/>
  <c r="N116" i="29"/>
  <c r="M116" i="26"/>
  <c r="M116" i="27"/>
  <c r="M116" i="28"/>
  <c r="M116" i="29"/>
  <c r="L116" i="26"/>
  <c r="L116" i="27"/>
  <c r="L116" i="28"/>
  <c r="L116" i="29"/>
  <c r="K116" i="26"/>
  <c r="K116" i="27"/>
  <c r="K116" i="28"/>
  <c r="K116" i="29"/>
  <c r="J116" i="26"/>
  <c r="J116" i="27"/>
  <c r="J116" i="28"/>
  <c r="J116" i="29"/>
  <c r="I116" i="26"/>
  <c r="I116" i="27"/>
  <c r="I116" i="28"/>
  <c r="I116" i="29"/>
  <c r="H116" i="26"/>
  <c r="H116" i="27"/>
  <c r="H116" i="28"/>
  <c r="H116" i="29"/>
  <c r="G116" i="26"/>
  <c r="G116" i="27"/>
  <c r="G116" i="28"/>
  <c r="G116" i="29"/>
  <c r="F116" i="26"/>
  <c r="F116" i="27"/>
  <c r="F116" i="28"/>
  <c r="F116" i="29"/>
  <c r="E116" i="26"/>
  <c r="E116" i="27"/>
  <c r="E116" i="28"/>
  <c r="E116" i="29"/>
  <c r="D116" i="26"/>
  <c r="D116" i="27"/>
  <c r="D116" i="28"/>
  <c r="R115" i="26"/>
  <c r="R115" i="27"/>
  <c r="R115" i="28"/>
  <c r="R115" i="29"/>
  <c r="Q115" i="26"/>
  <c r="Q115" i="27"/>
  <c r="Q115" i="28"/>
  <c r="Q115" i="29"/>
  <c r="P115" i="26"/>
  <c r="P115" i="27"/>
  <c r="P115" i="28"/>
  <c r="P115" i="29"/>
  <c r="O115" i="26"/>
  <c r="O115" i="27"/>
  <c r="O115" i="28"/>
  <c r="O115" i="29"/>
  <c r="N115" i="26"/>
  <c r="N115" i="27"/>
  <c r="N115" i="28"/>
  <c r="N115" i="29"/>
  <c r="M115" i="26"/>
  <c r="M115" i="27"/>
  <c r="M115" i="28"/>
  <c r="M115" i="29"/>
  <c r="L115" i="26"/>
  <c r="L115" i="27"/>
  <c r="L115" i="28"/>
  <c r="L115" i="29"/>
  <c r="K115" i="26"/>
  <c r="K115" i="27"/>
  <c r="K115" i="28"/>
  <c r="K115" i="29"/>
  <c r="J115" i="26"/>
  <c r="J115" i="27"/>
  <c r="J115" i="28"/>
  <c r="J115" i="29"/>
  <c r="I115" i="26"/>
  <c r="I115" i="27"/>
  <c r="I115" i="28"/>
  <c r="I115" i="29"/>
  <c r="H115" i="26"/>
  <c r="H115" i="27"/>
  <c r="H115" i="28"/>
  <c r="H115" i="29"/>
  <c r="G115" i="26"/>
  <c r="G115" i="27"/>
  <c r="G115" i="28"/>
  <c r="G115" i="29"/>
  <c r="F115" i="26"/>
  <c r="F115" i="27"/>
  <c r="F115" i="28"/>
  <c r="F115" i="29"/>
  <c r="E115" i="26"/>
  <c r="E115" i="27"/>
  <c r="E115" i="28"/>
  <c r="E115" i="29"/>
  <c r="D115" i="26"/>
  <c r="R114" i="26"/>
  <c r="R114" i="27"/>
  <c r="R114" i="28"/>
  <c r="R114" i="29"/>
  <c r="Q114" i="26"/>
  <c r="Q114" i="27"/>
  <c r="Q114" i="28"/>
  <c r="Q114" i="29"/>
  <c r="P114" i="26"/>
  <c r="P114" i="27"/>
  <c r="P114" i="28"/>
  <c r="P114" i="29"/>
  <c r="O114" i="26"/>
  <c r="O114" i="27"/>
  <c r="O114" i="28"/>
  <c r="O114" i="29"/>
  <c r="N114" i="26"/>
  <c r="N114" i="27"/>
  <c r="N114" i="28"/>
  <c r="N114" i="29"/>
  <c r="M114" i="26"/>
  <c r="M114" i="27"/>
  <c r="M114" i="28"/>
  <c r="M114" i="29"/>
  <c r="L114" i="26"/>
  <c r="L114" i="27"/>
  <c r="L114" i="28"/>
  <c r="L114" i="29"/>
  <c r="K114" i="26"/>
  <c r="K114" i="27"/>
  <c r="K114" i="28"/>
  <c r="K114" i="29"/>
  <c r="J114" i="26"/>
  <c r="J114" i="27"/>
  <c r="J114" i="28"/>
  <c r="J114" i="29"/>
  <c r="I114" i="26"/>
  <c r="I114" i="27"/>
  <c r="I114" i="28"/>
  <c r="I114" i="29"/>
  <c r="H114" i="26"/>
  <c r="H114" i="27"/>
  <c r="H114" i="28"/>
  <c r="H114" i="29"/>
  <c r="G114" i="26"/>
  <c r="G114" i="27"/>
  <c r="G114" i="28"/>
  <c r="G114" i="29"/>
  <c r="F114" i="26"/>
  <c r="F114" i="27"/>
  <c r="F114" i="28"/>
  <c r="F114" i="29"/>
  <c r="E114" i="26"/>
  <c r="E114" i="27"/>
  <c r="E114" i="28"/>
  <c r="E114" i="29"/>
  <c r="D114" i="26"/>
  <c r="D114" i="27"/>
  <c r="D114" i="28"/>
  <c r="R113" i="26"/>
  <c r="R113" i="27"/>
  <c r="R113" i="28"/>
  <c r="R113" i="29"/>
  <c r="Q113" i="26"/>
  <c r="Q113" i="27"/>
  <c r="Q113" i="28"/>
  <c r="Q113" i="29"/>
  <c r="P113" i="26"/>
  <c r="P113" i="27"/>
  <c r="P113" i="28"/>
  <c r="P113" i="29"/>
  <c r="O113" i="26"/>
  <c r="O113" i="27"/>
  <c r="O113" i="28"/>
  <c r="O113" i="29"/>
  <c r="N113" i="26"/>
  <c r="N113" i="27"/>
  <c r="N113" i="28"/>
  <c r="N113" i="29"/>
  <c r="M113" i="26"/>
  <c r="M113" i="27"/>
  <c r="M113" i="28"/>
  <c r="M113" i="29"/>
  <c r="L113" i="26"/>
  <c r="L113" i="27"/>
  <c r="L113" i="28"/>
  <c r="L113" i="29"/>
  <c r="K113" i="26"/>
  <c r="K113" i="27"/>
  <c r="K113" i="28"/>
  <c r="K113" i="29"/>
  <c r="J113" i="26"/>
  <c r="J113" i="27"/>
  <c r="J113" i="28"/>
  <c r="J113" i="29"/>
  <c r="I113" i="26"/>
  <c r="I113" i="27"/>
  <c r="I113" i="28"/>
  <c r="I113" i="29"/>
  <c r="H113" i="26"/>
  <c r="H113" i="27"/>
  <c r="H113" i="28"/>
  <c r="H113" i="29"/>
  <c r="G113" i="26"/>
  <c r="G113" i="27"/>
  <c r="G113" i="28"/>
  <c r="G113" i="29"/>
  <c r="F113" i="26"/>
  <c r="F113" i="27"/>
  <c r="F113" i="28"/>
  <c r="F113" i="29"/>
  <c r="E113" i="26"/>
  <c r="E113" i="27"/>
  <c r="E113" i="28"/>
  <c r="E113" i="29"/>
  <c r="D113" i="26"/>
  <c r="R112" i="26"/>
  <c r="R112" i="27"/>
  <c r="R112" i="28"/>
  <c r="R112" i="29"/>
  <c r="Q112" i="26"/>
  <c r="Q112" i="27"/>
  <c r="Q112" i="28"/>
  <c r="Q112" i="29"/>
  <c r="P112" i="26"/>
  <c r="P112" i="27"/>
  <c r="P112" i="28"/>
  <c r="P112" i="29"/>
  <c r="O112" i="26"/>
  <c r="O112" i="27"/>
  <c r="O112" i="28"/>
  <c r="O112" i="29"/>
  <c r="N112" i="26"/>
  <c r="N112" i="27"/>
  <c r="N112" i="28"/>
  <c r="N112" i="29"/>
  <c r="M112" i="26"/>
  <c r="M112" i="27"/>
  <c r="M112" i="28"/>
  <c r="L112" i="26"/>
  <c r="K112" i="26"/>
  <c r="S112" i="26"/>
  <c r="K112" i="27"/>
  <c r="K112" i="28"/>
  <c r="J112" i="26"/>
  <c r="J112" i="27"/>
  <c r="J112" i="28"/>
  <c r="I112" i="26"/>
  <c r="I112" i="27"/>
  <c r="I112" i="28"/>
  <c r="H112" i="26"/>
  <c r="H112" i="27"/>
  <c r="H112" i="28"/>
  <c r="G112" i="26"/>
  <c r="G112" i="27"/>
  <c r="G112" i="28"/>
  <c r="F112" i="26"/>
  <c r="F112" i="27"/>
  <c r="F112" i="28"/>
  <c r="E112" i="26"/>
  <c r="E112" i="27"/>
  <c r="E112" i="28"/>
  <c r="E112" i="29"/>
  <c r="D112" i="26"/>
  <c r="D112" i="27"/>
  <c r="D112" i="28"/>
  <c r="R111" i="26"/>
  <c r="R111" i="27"/>
  <c r="R111" i="28"/>
  <c r="R111" i="29"/>
  <c r="Q111" i="26"/>
  <c r="Q111" i="27"/>
  <c r="Q111" i="28"/>
  <c r="Q111" i="29"/>
  <c r="P111" i="26"/>
  <c r="P111" i="27"/>
  <c r="P111" i="28"/>
  <c r="P111" i="29"/>
  <c r="O111" i="26"/>
  <c r="O111" i="27"/>
  <c r="O111" i="28"/>
  <c r="O111" i="29"/>
  <c r="N111" i="26"/>
  <c r="N111" i="27"/>
  <c r="N111" i="28"/>
  <c r="N111" i="29"/>
  <c r="M111" i="26"/>
  <c r="M111" i="27"/>
  <c r="M111" i="28"/>
  <c r="M111" i="29"/>
  <c r="L111" i="26"/>
  <c r="L111" i="27"/>
  <c r="L111" i="28"/>
  <c r="L111" i="29"/>
  <c r="K111" i="26"/>
  <c r="K111" i="27"/>
  <c r="K111" i="28"/>
  <c r="K111" i="29"/>
  <c r="J111" i="26"/>
  <c r="J111" i="27"/>
  <c r="J111" i="28"/>
  <c r="J111" i="29"/>
  <c r="I111" i="26"/>
  <c r="I111" i="27"/>
  <c r="I111" i="28"/>
  <c r="I111" i="29"/>
  <c r="H111" i="26"/>
  <c r="H111" i="27"/>
  <c r="H111" i="28"/>
  <c r="H111" i="29"/>
  <c r="G111" i="26"/>
  <c r="G111" i="27"/>
  <c r="G111" i="28"/>
  <c r="G111" i="29"/>
  <c r="F111" i="26"/>
  <c r="F111" i="27"/>
  <c r="F111" i="28"/>
  <c r="F111" i="29"/>
  <c r="E111" i="26"/>
  <c r="E111" i="27"/>
  <c r="E111" i="28"/>
  <c r="E111" i="29"/>
  <c r="D111" i="26"/>
  <c r="R107" i="26"/>
  <c r="R107" i="27"/>
  <c r="R107" i="28"/>
  <c r="R107" i="29"/>
  <c r="Q107" i="26"/>
  <c r="Q107" i="27"/>
  <c r="Q107" i="28"/>
  <c r="Q107" i="29"/>
  <c r="P107" i="26"/>
  <c r="P107" i="27"/>
  <c r="P107" i="28"/>
  <c r="P107" i="29"/>
  <c r="O107" i="26"/>
  <c r="O107" i="27"/>
  <c r="O107" i="28"/>
  <c r="O107" i="29"/>
  <c r="N107" i="26"/>
  <c r="N107" i="27"/>
  <c r="N107" i="28"/>
  <c r="N107" i="29"/>
  <c r="M107" i="26"/>
  <c r="M107" i="27"/>
  <c r="M107" i="28"/>
  <c r="M107" i="29"/>
  <c r="L107" i="26"/>
  <c r="L107" i="27"/>
  <c r="L107" i="28"/>
  <c r="L107" i="29"/>
  <c r="K107" i="26"/>
  <c r="K107" i="27"/>
  <c r="K107" i="28"/>
  <c r="K107" i="29"/>
  <c r="J107" i="26"/>
  <c r="J107" i="27"/>
  <c r="J107" i="28"/>
  <c r="J107" i="29"/>
  <c r="I107" i="26"/>
  <c r="I107" i="27"/>
  <c r="I107" i="28"/>
  <c r="I107" i="29"/>
  <c r="H107" i="26"/>
  <c r="H107" i="27"/>
  <c r="H107" i="28"/>
  <c r="H107" i="29"/>
  <c r="G107" i="26"/>
  <c r="G107" i="27"/>
  <c r="G107" i="28"/>
  <c r="F107" i="26"/>
  <c r="F107" i="27"/>
  <c r="F107" i="28"/>
  <c r="E107" i="26"/>
  <c r="E107" i="27"/>
  <c r="E107" i="28"/>
  <c r="E107" i="29"/>
  <c r="D107" i="26"/>
  <c r="D107" i="27"/>
  <c r="D107" i="28"/>
  <c r="R96" i="26"/>
  <c r="R96" i="27"/>
  <c r="R96" i="28"/>
  <c r="R96" i="29"/>
  <c r="Q96" i="26"/>
  <c r="Q96" i="27"/>
  <c r="Q96" i="28"/>
  <c r="Q96" i="29"/>
  <c r="P96" i="26"/>
  <c r="P96" i="27"/>
  <c r="P96" i="28"/>
  <c r="P96" i="29"/>
  <c r="O96" i="26"/>
  <c r="O96" i="27"/>
  <c r="O96" i="28"/>
  <c r="O96" i="29"/>
  <c r="N96" i="26"/>
  <c r="N96" i="27"/>
  <c r="N96" i="28"/>
  <c r="N96" i="29"/>
  <c r="M96" i="26"/>
  <c r="M96" i="27"/>
  <c r="M96" i="28"/>
  <c r="M96" i="29"/>
  <c r="L96" i="26"/>
  <c r="L96" i="27"/>
  <c r="L96" i="28"/>
  <c r="L96" i="29"/>
  <c r="K96" i="26"/>
  <c r="K96" i="27"/>
  <c r="K96" i="28"/>
  <c r="K96" i="29"/>
  <c r="J96" i="26"/>
  <c r="J96" i="27"/>
  <c r="J96" i="28"/>
  <c r="J96" i="29"/>
  <c r="I96" i="26"/>
  <c r="I96" i="27"/>
  <c r="I96" i="28"/>
  <c r="I96" i="29"/>
  <c r="H96" i="26"/>
  <c r="H96" i="27"/>
  <c r="H96" i="28"/>
  <c r="H96" i="29"/>
  <c r="G96" i="26"/>
  <c r="G96" i="27"/>
  <c r="G96" i="28"/>
  <c r="G96" i="29"/>
  <c r="F96" i="26"/>
  <c r="F96" i="27"/>
  <c r="F96" i="28"/>
  <c r="F96" i="29"/>
  <c r="E96" i="26"/>
  <c r="E96" i="27"/>
  <c r="E96" i="28"/>
  <c r="E96" i="29"/>
  <c r="D96" i="26"/>
  <c r="D96" i="27"/>
  <c r="D96" i="28"/>
  <c r="R95" i="26"/>
  <c r="R95" i="27"/>
  <c r="R95" i="28"/>
  <c r="R95" i="29"/>
  <c r="Q95" i="26"/>
  <c r="Q95" i="27"/>
  <c r="Q95" i="28"/>
  <c r="Q95" i="29"/>
  <c r="P95" i="26"/>
  <c r="P95" i="27"/>
  <c r="P95" i="28"/>
  <c r="P95" i="29"/>
  <c r="O95" i="26"/>
  <c r="O95" i="27"/>
  <c r="O95" i="28"/>
  <c r="O95" i="29"/>
  <c r="N95" i="26"/>
  <c r="N95" i="27"/>
  <c r="N95" i="28"/>
  <c r="N95" i="29"/>
  <c r="M95" i="26"/>
  <c r="M95" i="27"/>
  <c r="M95" i="28"/>
  <c r="M95" i="29"/>
  <c r="L95" i="26"/>
  <c r="L95" i="27"/>
  <c r="L95" i="28"/>
  <c r="L95" i="29"/>
  <c r="K95" i="26"/>
  <c r="K95" i="27"/>
  <c r="K95" i="28"/>
  <c r="K95" i="29"/>
  <c r="J95" i="26"/>
  <c r="J95" i="27"/>
  <c r="J95" i="28"/>
  <c r="J95" i="29"/>
  <c r="I95" i="26"/>
  <c r="I95" i="27"/>
  <c r="I95" i="28"/>
  <c r="I95" i="29"/>
  <c r="H95" i="26"/>
  <c r="H95" i="27"/>
  <c r="H95" i="28"/>
  <c r="H95" i="29"/>
  <c r="G95" i="26"/>
  <c r="G95" i="27"/>
  <c r="G95" i="28"/>
  <c r="G95" i="29"/>
  <c r="F95" i="26"/>
  <c r="F95" i="27"/>
  <c r="F95" i="28"/>
  <c r="F95" i="29"/>
  <c r="E95" i="26"/>
  <c r="E95" i="27"/>
  <c r="E95" i="28"/>
  <c r="E95" i="29"/>
  <c r="D95" i="26"/>
  <c r="D95" i="27"/>
  <c r="D95" i="28"/>
  <c r="R94" i="26"/>
  <c r="R94" i="27"/>
  <c r="R94" i="28"/>
  <c r="R94" i="29"/>
  <c r="Q94" i="26"/>
  <c r="Q94" i="27"/>
  <c r="Q94" i="28"/>
  <c r="Q94" i="29"/>
  <c r="P94" i="26"/>
  <c r="P94" i="27"/>
  <c r="P94" i="28"/>
  <c r="P94" i="29"/>
  <c r="O94" i="26"/>
  <c r="O94" i="27"/>
  <c r="O94" i="28"/>
  <c r="O94" i="29"/>
  <c r="N94" i="26"/>
  <c r="N94" i="27"/>
  <c r="N94" i="28"/>
  <c r="N94" i="29"/>
  <c r="M94" i="26"/>
  <c r="M94" i="27"/>
  <c r="M94" i="28"/>
  <c r="M94" i="29"/>
  <c r="L94" i="26"/>
  <c r="L94" i="27"/>
  <c r="L94" i="28"/>
  <c r="L94" i="29"/>
  <c r="K94" i="26"/>
  <c r="K94" i="27"/>
  <c r="K94" i="28"/>
  <c r="K94" i="29"/>
  <c r="J94" i="26"/>
  <c r="J94" i="27"/>
  <c r="I94" i="26"/>
  <c r="I94" i="27"/>
  <c r="I94" i="28"/>
  <c r="I94" i="29"/>
  <c r="H94" i="26"/>
  <c r="H94" i="27"/>
  <c r="G94" i="26"/>
  <c r="G94" i="27"/>
  <c r="G94" i="28"/>
  <c r="G94" i="29"/>
  <c r="F94" i="26"/>
  <c r="F94" i="27"/>
  <c r="E94" i="26"/>
  <c r="E94" i="27"/>
  <c r="E94" i="28"/>
  <c r="E94" i="29"/>
  <c r="D94" i="26"/>
  <c r="D94" i="27"/>
  <c r="D94" i="28"/>
  <c r="R93" i="26"/>
  <c r="R93" i="27"/>
  <c r="R93" i="28"/>
  <c r="R93" i="29"/>
  <c r="Q93" i="26"/>
  <c r="Q93" i="27"/>
  <c r="Q93" i="28"/>
  <c r="Q93" i="29"/>
  <c r="P93" i="26"/>
  <c r="P93" i="27"/>
  <c r="P93" i="28"/>
  <c r="P93" i="29"/>
  <c r="O93" i="26"/>
  <c r="O93" i="27"/>
  <c r="O93" i="28"/>
  <c r="O93" i="29"/>
  <c r="N93" i="26"/>
  <c r="N93" i="27"/>
  <c r="N93" i="28"/>
  <c r="N93" i="29"/>
  <c r="M93" i="26"/>
  <c r="M93" i="27"/>
  <c r="M93" i="28"/>
  <c r="M93" i="29"/>
  <c r="L93" i="26"/>
  <c r="L93" i="27"/>
  <c r="L93" i="28"/>
  <c r="K93" i="26"/>
  <c r="K93" i="27"/>
  <c r="K93" i="28"/>
  <c r="K93" i="29"/>
  <c r="J93" i="26"/>
  <c r="J93" i="27"/>
  <c r="J93" i="28"/>
  <c r="J93" i="29"/>
  <c r="I93" i="26"/>
  <c r="I93" i="27"/>
  <c r="I93" i="28"/>
  <c r="I93" i="29"/>
  <c r="H93" i="26"/>
  <c r="H93" i="27"/>
  <c r="H93" i="28"/>
  <c r="G93" i="26"/>
  <c r="G93" i="27"/>
  <c r="G93" i="28"/>
  <c r="F93" i="26"/>
  <c r="F93" i="27"/>
  <c r="F93" i="28"/>
  <c r="E93" i="26"/>
  <c r="E93" i="27"/>
  <c r="E93" i="28"/>
  <c r="E93" i="29"/>
  <c r="D93" i="26"/>
  <c r="D93" i="27"/>
  <c r="D93" i="28"/>
  <c r="R92" i="26"/>
  <c r="R92" i="27"/>
  <c r="R92" i="28"/>
  <c r="R92" i="29"/>
  <c r="Q92" i="26"/>
  <c r="Q92" i="27"/>
  <c r="Q92" i="28"/>
  <c r="Q92" i="29"/>
  <c r="P92" i="26"/>
  <c r="P92" i="27"/>
  <c r="P92" i="28"/>
  <c r="P92" i="29"/>
  <c r="O92" i="26"/>
  <c r="O92" i="27"/>
  <c r="O92" i="28"/>
  <c r="O92" i="29"/>
  <c r="N92" i="26"/>
  <c r="N92" i="27"/>
  <c r="N92" i="28"/>
  <c r="N92" i="29"/>
  <c r="M92" i="26"/>
  <c r="M92" i="27"/>
  <c r="M92" i="28"/>
  <c r="M92" i="29"/>
  <c r="L92" i="26"/>
  <c r="L92" i="27"/>
  <c r="L92" i="28"/>
  <c r="L92" i="29"/>
  <c r="K92" i="26"/>
  <c r="K92" i="27"/>
  <c r="K92" i="28"/>
  <c r="K92" i="29"/>
  <c r="J92" i="26"/>
  <c r="J92" i="27"/>
  <c r="J92" i="28"/>
  <c r="J92" i="29"/>
  <c r="I92" i="26"/>
  <c r="I92" i="27"/>
  <c r="I92" i="28"/>
  <c r="I92" i="29"/>
  <c r="H92" i="26"/>
  <c r="H92" i="27"/>
  <c r="H92" i="28"/>
  <c r="H92" i="29"/>
  <c r="G92" i="26"/>
  <c r="G92" i="27"/>
  <c r="G92" i="28"/>
  <c r="G92" i="29"/>
  <c r="F92" i="26"/>
  <c r="F92" i="27"/>
  <c r="F92" i="28"/>
  <c r="F92" i="29"/>
  <c r="E92" i="26"/>
  <c r="E92" i="27"/>
  <c r="E92" i="28"/>
  <c r="E92" i="29"/>
  <c r="D92" i="26"/>
  <c r="D92" i="27"/>
  <c r="D92" i="28"/>
  <c r="R91" i="26"/>
  <c r="R91" i="27"/>
  <c r="R91" i="28"/>
  <c r="R91" i="29"/>
  <c r="Q91" i="26"/>
  <c r="Q91" i="27"/>
  <c r="Q91" i="28"/>
  <c r="Q91" i="29"/>
  <c r="P91" i="26"/>
  <c r="P91" i="27"/>
  <c r="P91" i="28"/>
  <c r="P91" i="29"/>
  <c r="O91" i="26"/>
  <c r="O91" i="27"/>
  <c r="O91" i="28"/>
  <c r="O91" i="29"/>
  <c r="N91" i="26"/>
  <c r="N91" i="27"/>
  <c r="N91" i="28"/>
  <c r="N91" i="29"/>
  <c r="M91" i="26"/>
  <c r="M91" i="27"/>
  <c r="M91" i="28"/>
  <c r="M91" i="29"/>
  <c r="L91" i="26"/>
  <c r="L91" i="27"/>
  <c r="L91" i="28"/>
  <c r="L91" i="29"/>
  <c r="K91" i="26"/>
  <c r="K91" i="27"/>
  <c r="K91" i="28"/>
  <c r="K91" i="29"/>
  <c r="J91" i="26"/>
  <c r="J91" i="27"/>
  <c r="J91" i="28"/>
  <c r="J91" i="29"/>
  <c r="I91" i="26"/>
  <c r="I91" i="27"/>
  <c r="I91" i="28"/>
  <c r="I91" i="29"/>
  <c r="H91" i="26"/>
  <c r="H91" i="27"/>
  <c r="H91" i="28"/>
  <c r="H91" i="29"/>
  <c r="G91" i="26"/>
  <c r="G91" i="27"/>
  <c r="G91" i="28"/>
  <c r="G91" i="29"/>
  <c r="F91" i="26"/>
  <c r="F91" i="27"/>
  <c r="E91" i="26"/>
  <c r="E91" i="27"/>
  <c r="E91" i="28"/>
  <c r="E91" i="29"/>
  <c r="D91" i="26"/>
  <c r="D91" i="27"/>
  <c r="D91" i="28"/>
  <c r="R87" i="26"/>
  <c r="R87" i="27"/>
  <c r="R87" i="28"/>
  <c r="R87" i="29"/>
  <c r="Q87" i="26"/>
  <c r="Q87" i="27"/>
  <c r="Q87" i="28"/>
  <c r="Q87" i="29"/>
  <c r="P87" i="26"/>
  <c r="P87" i="27"/>
  <c r="P87" i="28"/>
  <c r="P87" i="29"/>
  <c r="O87" i="26"/>
  <c r="O87" i="27"/>
  <c r="O87" i="28"/>
  <c r="O87" i="29"/>
  <c r="N87" i="26"/>
  <c r="N87" i="27"/>
  <c r="N87" i="28"/>
  <c r="N87" i="29"/>
  <c r="M87" i="26"/>
  <c r="M87" i="27"/>
  <c r="M87" i="28"/>
  <c r="M87" i="29"/>
  <c r="L87" i="26"/>
  <c r="L87" i="27"/>
  <c r="L87" i="28"/>
  <c r="L87" i="29"/>
  <c r="K87" i="26"/>
  <c r="K87" i="27"/>
  <c r="K87" i="28"/>
  <c r="K87" i="29"/>
  <c r="J87" i="26"/>
  <c r="J87" i="27"/>
  <c r="J87" i="28"/>
  <c r="J87" i="29"/>
  <c r="I87" i="26"/>
  <c r="I87" i="27"/>
  <c r="I87" i="28"/>
  <c r="I87" i="29"/>
  <c r="H87" i="26"/>
  <c r="H87" i="27"/>
  <c r="H87" i="28"/>
  <c r="H87" i="29"/>
  <c r="G87" i="26"/>
  <c r="G87" i="27"/>
  <c r="G87" i="28"/>
  <c r="G87" i="29"/>
  <c r="F87" i="26"/>
  <c r="F87" i="27"/>
  <c r="F87" i="28"/>
  <c r="F87" i="29"/>
  <c r="E87" i="26"/>
  <c r="E87" i="27"/>
  <c r="E87" i="28"/>
  <c r="E87" i="29"/>
  <c r="D87" i="26"/>
  <c r="D87" i="27"/>
  <c r="D87" i="28"/>
  <c r="R86" i="26"/>
  <c r="R86" i="27"/>
  <c r="R86" i="28"/>
  <c r="R86" i="29"/>
  <c r="Q86" i="26"/>
  <c r="Q86" i="27"/>
  <c r="Q86" i="28"/>
  <c r="Q86" i="29"/>
  <c r="P86" i="26"/>
  <c r="P86" i="27"/>
  <c r="P86" i="28"/>
  <c r="P86" i="29"/>
  <c r="O86" i="26"/>
  <c r="O86" i="27"/>
  <c r="O86" i="28"/>
  <c r="O86" i="29"/>
  <c r="N86" i="26"/>
  <c r="N86" i="27"/>
  <c r="N86" i="28"/>
  <c r="N86" i="29"/>
  <c r="M86" i="26"/>
  <c r="M86" i="27"/>
  <c r="M86" i="28"/>
  <c r="M86" i="29"/>
  <c r="L86" i="26"/>
  <c r="L86" i="27"/>
  <c r="L86" i="28"/>
  <c r="L86" i="29"/>
  <c r="K86" i="26"/>
  <c r="K86" i="27"/>
  <c r="K86" i="28"/>
  <c r="K86" i="29"/>
  <c r="J86" i="26"/>
  <c r="J86" i="27"/>
  <c r="J86" i="28"/>
  <c r="J86" i="29"/>
  <c r="I86" i="26"/>
  <c r="I86" i="27"/>
  <c r="I86" i="28"/>
  <c r="I86" i="29"/>
  <c r="H86" i="26"/>
  <c r="H86" i="27"/>
  <c r="H86" i="28"/>
  <c r="H86" i="29"/>
  <c r="G86" i="26"/>
  <c r="G86" i="27"/>
  <c r="G86" i="28"/>
  <c r="G86" i="29"/>
  <c r="F86" i="26"/>
  <c r="F86" i="27"/>
  <c r="F86" i="28"/>
  <c r="F86" i="29"/>
  <c r="E86" i="26"/>
  <c r="E86" i="27"/>
  <c r="E86" i="28"/>
  <c r="E86" i="29"/>
  <c r="D86" i="26"/>
  <c r="D86" i="27"/>
  <c r="D86" i="28"/>
  <c r="R85" i="26"/>
  <c r="R85" i="27"/>
  <c r="R85" i="28"/>
  <c r="R85" i="29"/>
  <c r="Q85" i="26"/>
  <c r="Q85" i="27"/>
  <c r="Q85" i="28"/>
  <c r="Q85" i="29"/>
  <c r="P85" i="26"/>
  <c r="P85" i="27"/>
  <c r="P85" i="28"/>
  <c r="P85" i="29"/>
  <c r="O85" i="26"/>
  <c r="O85" i="27"/>
  <c r="O85" i="28"/>
  <c r="O85" i="29"/>
  <c r="N85" i="26"/>
  <c r="N85" i="27"/>
  <c r="N85" i="28"/>
  <c r="N85" i="29"/>
  <c r="M85" i="26"/>
  <c r="M85" i="27"/>
  <c r="M85" i="28"/>
  <c r="M85" i="29"/>
  <c r="L85" i="26"/>
  <c r="L85" i="27"/>
  <c r="L85" i="28"/>
  <c r="L85" i="29"/>
  <c r="K85" i="26"/>
  <c r="K85" i="27"/>
  <c r="K85" i="28"/>
  <c r="K85" i="29"/>
  <c r="J85" i="26"/>
  <c r="J85" i="27"/>
  <c r="J85" i="28"/>
  <c r="J85" i="29"/>
  <c r="I85" i="26"/>
  <c r="I85" i="27"/>
  <c r="I85" i="28"/>
  <c r="I85" i="29"/>
  <c r="H85" i="26"/>
  <c r="H85" i="27"/>
  <c r="H85" i="28"/>
  <c r="H85" i="29"/>
  <c r="G85" i="26"/>
  <c r="G85" i="27"/>
  <c r="G85" i="28"/>
  <c r="G85" i="29"/>
  <c r="F85" i="26"/>
  <c r="F85" i="27"/>
  <c r="F85" i="28"/>
  <c r="F85" i="29"/>
  <c r="E85" i="26"/>
  <c r="E85" i="27"/>
  <c r="E85" i="28"/>
  <c r="E85" i="29"/>
  <c r="D85" i="26"/>
  <c r="D85" i="27"/>
  <c r="D85" i="28"/>
  <c r="R84" i="26"/>
  <c r="R84" i="27"/>
  <c r="R84" i="28"/>
  <c r="R84" i="29"/>
  <c r="Q84" i="26"/>
  <c r="Q84" i="27"/>
  <c r="Q84" i="28"/>
  <c r="Q84" i="29"/>
  <c r="P84" i="26"/>
  <c r="P84" i="27"/>
  <c r="P84" i="28"/>
  <c r="P84" i="29"/>
  <c r="O84" i="26"/>
  <c r="O84" i="27"/>
  <c r="O84" i="28"/>
  <c r="O84" i="29"/>
  <c r="N84" i="26"/>
  <c r="N84" i="27"/>
  <c r="N84" i="28"/>
  <c r="N84" i="29"/>
  <c r="M84" i="26"/>
  <c r="M84" i="27"/>
  <c r="M84" i="28"/>
  <c r="M84" i="29"/>
  <c r="L84" i="26"/>
  <c r="L84" i="27"/>
  <c r="L84" i="28"/>
  <c r="L84" i="29"/>
  <c r="K84" i="26"/>
  <c r="K84" i="27"/>
  <c r="K84" i="28"/>
  <c r="K84" i="29"/>
  <c r="J84" i="26"/>
  <c r="J84" i="27"/>
  <c r="J84" i="28"/>
  <c r="J84" i="29"/>
  <c r="I84" i="26"/>
  <c r="I84" i="27"/>
  <c r="I84" i="28"/>
  <c r="I84" i="29"/>
  <c r="H84" i="26"/>
  <c r="H84" i="27"/>
  <c r="H84" i="28"/>
  <c r="H84" i="29"/>
  <c r="G84" i="26"/>
  <c r="G84" i="27"/>
  <c r="G84" i="28"/>
  <c r="G84" i="29"/>
  <c r="F84" i="26"/>
  <c r="F84" i="27"/>
  <c r="F84" i="28"/>
  <c r="F84" i="29"/>
  <c r="E84" i="26"/>
  <c r="E84" i="27"/>
  <c r="E84" i="28"/>
  <c r="E84" i="29"/>
  <c r="D84" i="26"/>
  <c r="D84" i="27"/>
  <c r="D84" i="28"/>
  <c r="R83" i="26"/>
  <c r="R83" i="27"/>
  <c r="R83" i="28"/>
  <c r="R83" i="29"/>
  <c r="Q83" i="26"/>
  <c r="Q83" i="27"/>
  <c r="Q83" i="28"/>
  <c r="Q83" i="29"/>
  <c r="P83" i="26"/>
  <c r="P83" i="27"/>
  <c r="P83" i="28"/>
  <c r="P83" i="29"/>
  <c r="O83" i="26"/>
  <c r="O83" i="27"/>
  <c r="O83" i="28"/>
  <c r="O83" i="29"/>
  <c r="N83" i="26"/>
  <c r="N83" i="27"/>
  <c r="N83" i="28"/>
  <c r="N83" i="29"/>
  <c r="M83" i="26"/>
  <c r="M83" i="27"/>
  <c r="M83" i="28"/>
  <c r="M83" i="29"/>
  <c r="L83" i="26"/>
  <c r="L83" i="27"/>
  <c r="L83" i="28"/>
  <c r="L83" i="29"/>
  <c r="K83" i="26"/>
  <c r="K83" i="27"/>
  <c r="K83" i="28"/>
  <c r="K83" i="29"/>
  <c r="J83" i="26"/>
  <c r="J83" i="27"/>
  <c r="J83" i="28"/>
  <c r="J83" i="29"/>
  <c r="I83" i="26"/>
  <c r="I83" i="27"/>
  <c r="I83" i="28"/>
  <c r="I83" i="29"/>
  <c r="H83" i="26"/>
  <c r="H83" i="27"/>
  <c r="H83" i="28"/>
  <c r="H83" i="29"/>
  <c r="G83" i="26"/>
  <c r="G83" i="27"/>
  <c r="G83" i="28"/>
  <c r="G83" i="29"/>
  <c r="F83" i="26"/>
  <c r="F83" i="27"/>
  <c r="F83" i="28"/>
  <c r="F83" i="29"/>
  <c r="E83" i="26"/>
  <c r="E83" i="27"/>
  <c r="E83" i="28"/>
  <c r="E83" i="29"/>
  <c r="D83" i="26"/>
  <c r="D83" i="27"/>
  <c r="D83" i="28"/>
  <c r="R82" i="26"/>
  <c r="R82" i="27"/>
  <c r="R82" i="28"/>
  <c r="R82" i="29"/>
  <c r="Q82" i="26"/>
  <c r="Q82" i="27"/>
  <c r="Q82" i="28"/>
  <c r="Q82" i="29"/>
  <c r="P82" i="26"/>
  <c r="P82" i="27"/>
  <c r="P82" i="28"/>
  <c r="P82" i="29"/>
  <c r="O82" i="26"/>
  <c r="O82" i="27"/>
  <c r="O82" i="28"/>
  <c r="O82" i="29"/>
  <c r="N82" i="26"/>
  <c r="N82" i="27"/>
  <c r="N82" i="28"/>
  <c r="N82" i="29"/>
  <c r="M82" i="26"/>
  <c r="M82" i="27"/>
  <c r="M82" i="28"/>
  <c r="M82" i="29"/>
  <c r="L82" i="26"/>
  <c r="L82" i="27"/>
  <c r="L82" i="28"/>
  <c r="L82" i="29"/>
  <c r="K82" i="26"/>
  <c r="K82" i="27"/>
  <c r="K82" i="28"/>
  <c r="K82" i="29"/>
  <c r="J82" i="26"/>
  <c r="J82" i="27"/>
  <c r="J82" i="28"/>
  <c r="J82" i="29"/>
  <c r="I82" i="26"/>
  <c r="I82" i="27"/>
  <c r="I82" i="28"/>
  <c r="I82" i="29"/>
  <c r="H82" i="26"/>
  <c r="H82" i="27"/>
  <c r="H82" i="28"/>
  <c r="H82" i="29"/>
  <c r="G82" i="26"/>
  <c r="G82" i="27"/>
  <c r="G82" i="28"/>
  <c r="G82" i="29"/>
  <c r="F82" i="26"/>
  <c r="F82" i="27"/>
  <c r="F82" i="28"/>
  <c r="F82" i="29"/>
  <c r="E82" i="26"/>
  <c r="E82" i="27"/>
  <c r="E82" i="28"/>
  <c r="E82" i="29"/>
  <c r="D82" i="26"/>
  <c r="D82" i="27"/>
  <c r="D82" i="28"/>
  <c r="R81" i="26"/>
  <c r="R81" i="27"/>
  <c r="R81" i="28"/>
  <c r="R81" i="29"/>
  <c r="Q81" i="26"/>
  <c r="Q81" i="27"/>
  <c r="Q81" i="28"/>
  <c r="Q81" i="29"/>
  <c r="P81" i="26"/>
  <c r="P81" i="27"/>
  <c r="P81" i="28"/>
  <c r="P81" i="29"/>
  <c r="O81" i="26"/>
  <c r="O81" i="27"/>
  <c r="O81" i="28"/>
  <c r="O81" i="29"/>
  <c r="N81" i="26"/>
  <c r="N81" i="27"/>
  <c r="N81" i="28"/>
  <c r="N81" i="29"/>
  <c r="M81" i="26"/>
  <c r="M81" i="27"/>
  <c r="M81" i="28"/>
  <c r="M81" i="29"/>
  <c r="L81" i="26"/>
  <c r="L81" i="27"/>
  <c r="L81" i="28"/>
  <c r="L81" i="29"/>
  <c r="K81" i="26"/>
  <c r="K81" i="27"/>
  <c r="K81" i="28"/>
  <c r="K81" i="29"/>
  <c r="J81" i="26"/>
  <c r="J81" i="27"/>
  <c r="J81" i="28"/>
  <c r="J81" i="29"/>
  <c r="I81" i="26"/>
  <c r="I81" i="27"/>
  <c r="I81" i="28"/>
  <c r="I81" i="29"/>
  <c r="H81" i="26"/>
  <c r="H81" i="27"/>
  <c r="H81" i="28"/>
  <c r="H81" i="29"/>
  <c r="G81" i="26"/>
  <c r="G81" i="27"/>
  <c r="G81" i="28"/>
  <c r="G81" i="29"/>
  <c r="F81" i="26"/>
  <c r="F81" i="27"/>
  <c r="F81" i="28"/>
  <c r="F81" i="29"/>
  <c r="E81" i="26"/>
  <c r="E81" i="27"/>
  <c r="E81" i="28"/>
  <c r="E81" i="29"/>
  <c r="D81" i="26"/>
  <c r="D81" i="27"/>
  <c r="D81" i="28"/>
  <c r="R80" i="26"/>
  <c r="R80" i="27"/>
  <c r="R80" i="28"/>
  <c r="R80" i="29"/>
  <c r="Q80" i="26"/>
  <c r="Q80" i="27"/>
  <c r="Q80" i="28"/>
  <c r="Q80" i="29"/>
  <c r="P80" i="26"/>
  <c r="P80" i="27"/>
  <c r="P80" i="28"/>
  <c r="P80" i="29"/>
  <c r="O80" i="26"/>
  <c r="O80" i="27"/>
  <c r="O80" i="28"/>
  <c r="O80" i="29"/>
  <c r="N80" i="26"/>
  <c r="N80" i="27"/>
  <c r="N80" i="28"/>
  <c r="N80" i="29"/>
  <c r="M80" i="26"/>
  <c r="M80" i="27"/>
  <c r="M80" i="28"/>
  <c r="M80" i="29"/>
  <c r="L80" i="26"/>
  <c r="L80" i="27"/>
  <c r="L80" i="28"/>
  <c r="L80" i="29"/>
  <c r="K80" i="26"/>
  <c r="K80" i="27"/>
  <c r="K80" i="28"/>
  <c r="K80" i="29"/>
  <c r="J80" i="26"/>
  <c r="J80" i="27"/>
  <c r="J80" i="28"/>
  <c r="J80" i="29"/>
  <c r="I80" i="26"/>
  <c r="I80" i="27"/>
  <c r="I80" i="28"/>
  <c r="I80" i="29"/>
  <c r="H80" i="26"/>
  <c r="H80" i="27"/>
  <c r="H80" i="28"/>
  <c r="H80" i="29"/>
  <c r="G80" i="26"/>
  <c r="G80" i="27"/>
  <c r="G80" i="28"/>
  <c r="G80" i="29"/>
  <c r="F80" i="26"/>
  <c r="F80" i="27"/>
  <c r="F80" i="28"/>
  <c r="F80" i="29"/>
  <c r="E80" i="26"/>
  <c r="E80" i="27"/>
  <c r="E80" i="28"/>
  <c r="E80" i="29"/>
  <c r="D80" i="26"/>
  <c r="D80" i="27"/>
  <c r="D80" i="28"/>
  <c r="R79" i="26"/>
  <c r="R79" i="27"/>
  <c r="R79" i="28"/>
  <c r="R79" i="29"/>
  <c r="Q79" i="26"/>
  <c r="Q79" i="27"/>
  <c r="Q79" i="28"/>
  <c r="Q79" i="29"/>
  <c r="P79" i="26"/>
  <c r="P79" i="27"/>
  <c r="P79" i="28"/>
  <c r="P79" i="29"/>
  <c r="O79" i="26"/>
  <c r="O79" i="27"/>
  <c r="O79" i="28"/>
  <c r="O79" i="29"/>
  <c r="N79" i="26"/>
  <c r="N79" i="27"/>
  <c r="N79" i="28"/>
  <c r="N79" i="29"/>
  <c r="M79" i="26"/>
  <c r="M79" i="27"/>
  <c r="M79" i="28"/>
  <c r="M79" i="29"/>
  <c r="L79" i="26"/>
  <c r="L79" i="27"/>
  <c r="L79" i="28"/>
  <c r="L79" i="29"/>
  <c r="K79" i="26"/>
  <c r="K79" i="27"/>
  <c r="K79" i="28"/>
  <c r="K79" i="29"/>
  <c r="J79" i="26"/>
  <c r="J79" i="27"/>
  <c r="J79" i="28"/>
  <c r="J79" i="29"/>
  <c r="I79" i="26"/>
  <c r="I79" i="27"/>
  <c r="I79" i="28"/>
  <c r="I79" i="29"/>
  <c r="H79" i="26"/>
  <c r="H79" i="27"/>
  <c r="H79" i="28"/>
  <c r="H79" i="29"/>
  <c r="G79" i="26"/>
  <c r="G79" i="27"/>
  <c r="G79" i="28"/>
  <c r="G79" i="29"/>
  <c r="F79" i="26"/>
  <c r="F79" i="27"/>
  <c r="F79" i="28"/>
  <c r="F79" i="29"/>
  <c r="E79" i="26"/>
  <c r="E79" i="27"/>
  <c r="E79" i="28"/>
  <c r="E79" i="29"/>
  <c r="D79" i="26"/>
  <c r="D79" i="27"/>
  <c r="D79" i="28"/>
  <c r="R75" i="26"/>
  <c r="R75" i="27"/>
  <c r="R75" i="28"/>
  <c r="R75" i="29"/>
  <c r="Q75" i="26"/>
  <c r="Q75" i="27"/>
  <c r="Q75" i="28"/>
  <c r="Q75" i="29"/>
  <c r="P75" i="26"/>
  <c r="P75" i="27"/>
  <c r="P75" i="28"/>
  <c r="P75" i="29"/>
  <c r="O75" i="26"/>
  <c r="O75" i="27"/>
  <c r="O75" i="28"/>
  <c r="O75" i="29"/>
  <c r="N75" i="26"/>
  <c r="N75" i="27"/>
  <c r="N75" i="28"/>
  <c r="N75" i="29"/>
  <c r="M75" i="26"/>
  <c r="M75" i="27"/>
  <c r="M75" i="28"/>
  <c r="M75" i="29"/>
  <c r="L75" i="26"/>
  <c r="L75" i="27"/>
  <c r="L75" i="28"/>
  <c r="L75" i="29"/>
  <c r="K75" i="26"/>
  <c r="K75" i="27"/>
  <c r="K75" i="28"/>
  <c r="K75" i="29"/>
  <c r="J75" i="26"/>
  <c r="J75" i="27"/>
  <c r="J75" i="28"/>
  <c r="J75" i="29"/>
  <c r="I75" i="26"/>
  <c r="I75" i="27"/>
  <c r="I75" i="28"/>
  <c r="I75" i="29"/>
  <c r="H75" i="26"/>
  <c r="H75" i="27"/>
  <c r="H75" i="28"/>
  <c r="H75" i="29"/>
  <c r="G75" i="26"/>
  <c r="G75" i="27"/>
  <c r="G75" i="28"/>
  <c r="G75" i="29"/>
  <c r="F75" i="26"/>
  <c r="F75" i="27"/>
  <c r="F75" i="28"/>
  <c r="F75" i="29"/>
  <c r="E75" i="26"/>
  <c r="E75" i="27"/>
  <c r="E75" i="28"/>
  <c r="E75" i="29"/>
  <c r="D75" i="26"/>
  <c r="D75" i="27"/>
  <c r="D75" i="28"/>
  <c r="R74" i="26"/>
  <c r="R74" i="27"/>
  <c r="R74" i="28"/>
  <c r="R74" i="29"/>
  <c r="Q74" i="26"/>
  <c r="Q74" i="27"/>
  <c r="Q74" i="28"/>
  <c r="Q74" i="29"/>
  <c r="P74" i="26"/>
  <c r="P74" i="27"/>
  <c r="P74" i="28"/>
  <c r="P74" i="29"/>
  <c r="O74" i="26"/>
  <c r="O74" i="27"/>
  <c r="O74" i="28"/>
  <c r="O74" i="29"/>
  <c r="N74" i="26"/>
  <c r="N74" i="27"/>
  <c r="N74" i="28"/>
  <c r="N74" i="29"/>
  <c r="M74" i="26"/>
  <c r="M74" i="27"/>
  <c r="M74" i="28"/>
  <c r="M74" i="29"/>
  <c r="L74" i="26"/>
  <c r="L74" i="27"/>
  <c r="L74" i="28"/>
  <c r="L74" i="29"/>
  <c r="K74" i="26"/>
  <c r="K74" i="27"/>
  <c r="K74" i="28"/>
  <c r="K74" i="29"/>
  <c r="J74" i="26"/>
  <c r="J74" i="27"/>
  <c r="J74" i="28"/>
  <c r="J74" i="29"/>
  <c r="I74" i="26"/>
  <c r="I74" i="27"/>
  <c r="I74" i="28"/>
  <c r="I74" i="29"/>
  <c r="H74" i="26"/>
  <c r="H74" i="27"/>
  <c r="H74" i="28"/>
  <c r="H74" i="29"/>
  <c r="G74" i="26"/>
  <c r="G74" i="27"/>
  <c r="G74" i="28"/>
  <c r="G74" i="29"/>
  <c r="F74" i="26"/>
  <c r="F74" i="27"/>
  <c r="F74" i="28"/>
  <c r="F74" i="29"/>
  <c r="E74" i="26"/>
  <c r="E74" i="27"/>
  <c r="E74" i="28"/>
  <c r="E74" i="29"/>
  <c r="D74" i="26"/>
  <c r="D74" i="27"/>
  <c r="D74" i="28"/>
  <c r="R73" i="26"/>
  <c r="R73" i="27"/>
  <c r="R73" i="28"/>
  <c r="R73" i="29"/>
  <c r="Q73" i="26"/>
  <c r="Q73" i="27"/>
  <c r="Q73" i="28"/>
  <c r="Q73" i="29"/>
  <c r="P73" i="26"/>
  <c r="P73" i="27"/>
  <c r="P73" i="28"/>
  <c r="P73" i="29"/>
  <c r="O73" i="26"/>
  <c r="O73" i="27"/>
  <c r="N73" i="26"/>
  <c r="N73" i="27"/>
  <c r="N73" i="28"/>
  <c r="M73" i="26"/>
  <c r="M73" i="27"/>
  <c r="M73" i="28"/>
  <c r="M73" i="29"/>
  <c r="L73" i="26"/>
  <c r="L73" i="27"/>
  <c r="L73" i="28"/>
  <c r="L73" i="29"/>
  <c r="K73" i="26"/>
  <c r="K73" i="27"/>
  <c r="K73" i="28"/>
  <c r="K73" i="29"/>
  <c r="J73" i="26"/>
  <c r="J73" i="27"/>
  <c r="J73" i="28"/>
  <c r="J73" i="29"/>
  <c r="I73" i="26"/>
  <c r="I73" i="27"/>
  <c r="I73" i="28"/>
  <c r="I73" i="29"/>
  <c r="H73" i="26"/>
  <c r="H73" i="27"/>
  <c r="H73" i="28"/>
  <c r="H73" i="29"/>
  <c r="G73" i="26"/>
  <c r="G73" i="27"/>
  <c r="G73" i="28"/>
  <c r="G73" i="29"/>
  <c r="F73" i="26"/>
  <c r="F73" i="27"/>
  <c r="F73" i="28"/>
  <c r="F73" i="29"/>
  <c r="E73" i="26"/>
  <c r="E73" i="27"/>
  <c r="E73" i="28"/>
  <c r="E73" i="29"/>
  <c r="D73" i="26"/>
  <c r="D73" i="27"/>
  <c r="R72" i="26"/>
  <c r="R72" i="27"/>
  <c r="R72" i="28"/>
  <c r="R72" i="29"/>
  <c r="Q72" i="26"/>
  <c r="Q72" i="27"/>
  <c r="Q72" i="28"/>
  <c r="Q72" i="29"/>
  <c r="P72" i="26"/>
  <c r="P72" i="27"/>
  <c r="P72" i="28"/>
  <c r="P72" i="29"/>
  <c r="O72" i="26"/>
  <c r="O72" i="27"/>
  <c r="N72" i="26"/>
  <c r="N72" i="27"/>
  <c r="M72" i="26"/>
  <c r="M72" i="27"/>
  <c r="L72" i="26"/>
  <c r="L72" i="27"/>
  <c r="K72" i="26"/>
  <c r="K72" i="27"/>
  <c r="J72" i="26"/>
  <c r="J72" i="27"/>
  <c r="I72" i="26"/>
  <c r="I72" i="27"/>
  <c r="H72" i="26"/>
  <c r="H72" i="27"/>
  <c r="G72" i="26"/>
  <c r="G72" i="27"/>
  <c r="F72" i="26"/>
  <c r="F72" i="27"/>
  <c r="E72" i="26"/>
  <c r="E72" i="27"/>
  <c r="E72" i="28"/>
  <c r="E72" i="29"/>
  <c r="D72" i="26"/>
  <c r="D72" i="27"/>
  <c r="D72" i="28"/>
  <c r="R71" i="26"/>
  <c r="R71" i="27"/>
  <c r="R71" i="28"/>
  <c r="R71" i="29"/>
  <c r="Q71" i="26"/>
  <c r="Q71" i="27"/>
  <c r="Q71" i="28"/>
  <c r="Q71" i="29"/>
  <c r="P71" i="26"/>
  <c r="P71" i="27"/>
  <c r="P71" i="28"/>
  <c r="P71" i="29"/>
  <c r="O71" i="26"/>
  <c r="O71" i="27"/>
  <c r="O71" i="28"/>
  <c r="O71" i="29"/>
  <c r="N71" i="26"/>
  <c r="N71" i="27"/>
  <c r="N71" i="28"/>
  <c r="N71" i="29"/>
  <c r="M71" i="26"/>
  <c r="M71" i="27"/>
  <c r="M71" i="28"/>
  <c r="M71" i="29"/>
  <c r="L71" i="26"/>
  <c r="L71" i="27"/>
  <c r="L71" i="28"/>
  <c r="L71" i="29"/>
  <c r="K71" i="26"/>
  <c r="K71" i="27"/>
  <c r="K71" i="28"/>
  <c r="K71" i="29"/>
  <c r="J71" i="26"/>
  <c r="J71" i="27"/>
  <c r="J71" i="28"/>
  <c r="J71" i="29"/>
  <c r="I71" i="26"/>
  <c r="I71" i="27"/>
  <c r="I71" i="28"/>
  <c r="I71" i="29"/>
  <c r="H71" i="26"/>
  <c r="H71" i="27"/>
  <c r="H71" i="28"/>
  <c r="H71" i="29"/>
  <c r="G71" i="26"/>
  <c r="G71" i="27"/>
  <c r="G71" i="28"/>
  <c r="G71" i="29"/>
  <c r="F71" i="26"/>
  <c r="F71" i="27"/>
  <c r="F71" i="28"/>
  <c r="F71" i="29"/>
  <c r="E71" i="26"/>
  <c r="E71" i="27"/>
  <c r="E71" i="28"/>
  <c r="E71" i="29"/>
  <c r="D71" i="26"/>
  <c r="D71" i="27"/>
  <c r="D71" i="28"/>
  <c r="R70" i="26"/>
  <c r="R70" i="27"/>
  <c r="R70" i="28"/>
  <c r="R70" i="29"/>
  <c r="Q70" i="26"/>
  <c r="Q70" i="27"/>
  <c r="Q70" i="28"/>
  <c r="Q70" i="29"/>
  <c r="P70" i="26"/>
  <c r="P70" i="27"/>
  <c r="P70" i="28"/>
  <c r="P70" i="29"/>
  <c r="O70" i="26"/>
  <c r="O70" i="27"/>
  <c r="O70" i="28"/>
  <c r="O70" i="29"/>
  <c r="N70" i="26"/>
  <c r="N70" i="27"/>
  <c r="N70" i="28"/>
  <c r="N70" i="29"/>
  <c r="M70" i="26"/>
  <c r="M70" i="27"/>
  <c r="M70" i="28"/>
  <c r="M70" i="29"/>
  <c r="L70" i="26"/>
  <c r="L70" i="27"/>
  <c r="L70" i="28"/>
  <c r="L70" i="29"/>
  <c r="K70" i="26"/>
  <c r="K70" i="27"/>
  <c r="K70" i="28"/>
  <c r="K70" i="29"/>
  <c r="J70" i="26"/>
  <c r="J70" i="27"/>
  <c r="J70" i="28"/>
  <c r="J70" i="29"/>
  <c r="I70" i="26"/>
  <c r="I70" i="27"/>
  <c r="I70" i="28"/>
  <c r="I70" i="29"/>
  <c r="H70" i="26"/>
  <c r="H70" i="27"/>
  <c r="H70" i="28"/>
  <c r="H70" i="29"/>
  <c r="G70" i="26"/>
  <c r="G70" i="27"/>
  <c r="G70" i="28"/>
  <c r="G70" i="29"/>
  <c r="F70" i="26"/>
  <c r="F70" i="27"/>
  <c r="F70" i="28"/>
  <c r="F70" i="29"/>
  <c r="E70" i="26"/>
  <c r="E70" i="27"/>
  <c r="E70" i="28"/>
  <c r="E70" i="29"/>
  <c r="D70" i="26"/>
  <c r="D70" i="27"/>
  <c r="D70" i="28"/>
  <c r="R69" i="26"/>
  <c r="R69" i="27"/>
  <c r="R69" i="28"/>
  <c r="R69" i="29"/>
  <c r="Q69" i="26"/>
  <c r="Q69" i="27"/>
  <c r="Q69" i="28"/>
  <c r="Q69" i="29"/>
  <c r="P69" i="26"/>
  <c r="P69" i="27"/>
  <c r="P69" i="28"/>
  <c r="P69" i="29"/>
  <c r="O69" i="26"/>
  <c r="O69" i="27"/>
  <c r="O69" i="28"/>
  <c r="O69" i="29"/>
  <c r="N69" i="26"/>
  <c r="N69" i="27"/>
  <c r="N69" i="28"/>
  <c r="N69" i="29"/>
  <c r="M69" i="26"/>
  <c r="M69" i="27"/>
  <c r="M69" i="28"/>
  <c r="M69" i="29"/>
  <c r="L69" i="26"/>
  <c r="L69" i="27"/>
  <c r="L69" i="28"/>
  <c r="L69" i="29"/>
  <c r="K69" i="26"/>
  <c r="K69" i="27"/>
  <c r="K69" i="28"/>
  <c r="K69" i="29"/>
  <c r="J69" i="26"/>
  <c r="J69" i="27"/>
  <c r="J69" i="28"/>
  <c r="J69" i="29"/>
  <c r="I69" i="26"/>
  <c r="I69" i="27"/>
  <c r="I69" i="28"/>
  <c r="I69" i="29"/>
  <c r="H69" i="26"/>
  <c r="H69" i="27"/>
  <c r="H69" i="28"/>
  <c r="H69" i="29"/>
  <c r="G69" i="26"/>
  <c r="G69" i="27"/>
  <c r="G69" i="28"/>
  <c r="G69" i="29"/>
  <c r="F69" i="26"/>
  <c r="F69" i="27"/>
  <c r="F69" i="28"/>
  <c r="F69" i="29"/>
  <c r="E69" i="26"/>
  <c r="E69" i="27"/>
  <c r="E69" i="28"/>
  <c r="E69" i="29"/>
  <c r="D69" i="26"/>
  <c r="D69" i="27"/>
  <c r="D69" i="28"/>
  <c r="R68" i="26"/>
  <c r="R68" i="27"/>
  <c r="R68" i="28"/>
  <c r="R68" i="29"/>
  <c r="Q68" i="26"/>
  <c r="Q68" i="27"/>
  <c r="Q68" i="28"/>
  <c r="Q68" i="29"/>
  <c r="P68" i="26"/>
  <c r="P68" i="27"/>
  <c r="P68" i="28"/>
  <c r="P68" i="29"/>
  <c r="O68" i="26"/>
  <c r="O68" i="27"/>
  <c r="O68" i="28"/>
  <c r="O68" i="29"/>
  <c r="N68" i="26"/>
  <c r="N68" i="27"/>
  <c r="N68" i="28"/>
  <c r="N68" i="29"/>
  <c r="M68" i="26"/>
  <c r="M68" i="27"/>
  <c r="M68" i="28"/>
  <c r="M68" i="29"/>
  <c r="L68" i="26"/>
  <c r="L68" i="27"/>
  <c r="L68" i="28"/>
  <c r="L68" i="29"/>
  <c r="K68" i="26"/>
  <c r="K68" i="27"/>
  <c r="K68" i="28"/>
  <c r="K68" i="29"/>
  <c r="J68" i="26"/>
  <c r="J68" i="27"/>
  <c r="J68" i="28"/>
  <c r="J68" i="29"/>
  <c r="I68" i="26"/>
  <c r="I68" i="27"/>
  <c r="I68" i="28"/>
  <c r="I68" i="29"/>
  <c r="H68" i="26"/>
  <c r="H68" i="27"/>
  <c r="H68" i="28"/>
  <c r="H68" i="29"/>
  <c r="G68" i="26"/>
  <c r="G68" i="27"/>
  <c r="G68" i="28"/>
  <c r="G68" i="29"/>
  <c r="F68" i="26"/>
  <c r="F68" i="27"/>
  <c r="F68" i="28"/>
  <c r="F68" i="29"/>
  <c r="E68" i="26"/>
  <c r="E68" i="27"/>
  <c r="E68" i="28"/>
  <c r="E68" i="29"/>
  <c r="D68" i="26"/>
  <c r="D68" i="27"/>
  <c r="D68" i="28"/>
  <c r="R67" i="26"/>
  <c r="R67" i="27"/>
  <c r="R67" i="28"/>
  <c r="R67" i="29"/>
  <c r="Q67" i="26"/>
  <c r="Q67" i="27"/>
  <c r="Q67" i="28"/>
  <c r="Q67" i="29"/>
  <c r="P67" i="26"/>
  <c r="P67" i="27"/>
  <c r="P67" i="28"/>
  <c r="P67" i="29"/>
  <c r="O67" i="26"/>
  <c r="O67" i="27"/>
  <c r="O67" i="28"/>
  <c r="O67" i="29"/>
  <c r="N67" i="26"/>
  <c r="N67" i="27"/>
  <c r="N67" i="28"/>
  <c r="N67" i="29"/>
  <c r="M67" i="26"/>
  <c r="M67" i="27"/>
  <c r="M67" i="28"/>
  <c r="M67" i="29"/>
  <c r="L67" i="26"/>
  <c r="L67" i="27"/>
  <c r="L67" i="28"/>
  <c r="L67" i="29"/>
  <c r="K67" i="26"/>
  <c r="K67" i="27"/>
  <c r="K67" i="28"/>
  <c r="K67" i="29"/>
  <c r="J67" i="26"/>
  <c r="J67" i="27"/>
  <c r="J67" i="28"/>
  <c r="J67" i="29"/>
  <c r="I67" i="26"/>
  <c r="I67" i="27"/>
  <c r="I67" i="28"/>
  <c r="I67" i="29"/>
  <c r="H67" i="26"/>
  <c r="H67" i="27"/>
  <c r="H67" i="28"/>
  <c r="H67" i="29"/>
  <c r="G67" i="26"/>
  <c r="G67" i="27"/>
  <c r="G67" i="28"/>
  <c r="G67" i="29"/>
  <c r="F67" i="26"/>
  <c r="F67" i="27"/>
  <c r="F67" i="28"/>
  <c r="F67" i="29"/>
  <c r="E67" i="26"/>
  <c r="E67" i="27"/>
  <c r="E67" i="28"/>
  <c r="E67" i="29"/>
  <c r="D67" i="26"/>
  <c r="D67" i="27"/>
  <c r="D67" i="28"/>
  <c r="R66" i="26"/>
  <c r="R66" i="27"/>
  <c r="R66" i="28"/>
  <c r="R66" i="29"/>
  <c r="Q66" i="26"/>
  <c r="Q66" i="27"/>
  <c r="Q66" i="28"/>
  <c r="Q66" i="29"/>
  <c r="P66" i="26"/>
  <c r="P66" i="27"/>
  <c r="P66" i="28"/>
  <c r="P66" i="29"/>
  <c r="O66" i="26"/>
  <c r="O66" i="27"/>
  <c r="O66" i="28"/>
  <c r="O66" i="29"/>
  <c r="N66" i="26"/>
  <c r="N66" i="27"/>
  <c r="N66" i="28"/>
  <c r="N66" i="29"/>
  <c r="M66" i="26"/>
  <c r="M66" i="27"/>
  <c r="M66" i="28"/>
  <c r="M66" i="29"/>
  <c r="L66" i="26"/>
  <c r="L66" i="27"/>
  <c r="L66" i="28"/>
  <c r="L66" i="29"/>
  <c r="K66" i="26"/>
  <c r="K66" i="27"/>
  <c r="K66" i="28"/>
  <c r="K66" i="29"/>
  <c r="J66" i="26"/>
  <c r="J66" i="27"/>
  <c r="J66" i="28"/>
  <c r="J66" i="29"/>
  <c r="I66" i="26"/>
  <c r="I66" i="27"/>
  <c r="I66" i="28"/>
  <c r="I66" i="29"/>
  <c r="H66" i="26"/>
  <c r="H66" i="27"/>
  <c r="H66" i="28"/>
  <c r="H66" i="29"/>
  <c r="G66" i="26"/>
  <c r="G66" i="27"/>
  <c r="G66" i="28"/>
  <c r="G66" i="29"/>
  <c r="F66" i="26"/>
  <c r="F66" i="27"/>
  <c r="F66" i="28"/>
  <c r="F66" i="29"/>
  <c r="E66" i="26"/>
  <c r="E66" i="27"/>
  <c r="E66" i="28"/>
  <c r="E66" i="29"/>
  <c r="D66" i="26"/>
  <c r="D66" i="27"/>
  <c r="D66" i="28"/>
  <c r="R62" i="26"/>
  <c r="R62" i="27"/>
  <c r="R62" i="28"/>
  <c r="R62" i="29"/>
  <c r="Q62" i="26"/>
  <c r="Q62" i="27"/>
  <c r="Q62" i="28"/>
  <c r="Q62" i="29"/>
  <c r="P62" i="26"/>
  <c r="P62" i="27"/>
  <c r="P62" i="28"/>
  <c r="P62" i="29"/>
  <c r="O62" i="26"/>
  <c r="O62" i="27"/>
  <c r="O62" i="28"/>
  <c r="O62" i="29"/>
  <c r="N62" i="26"/>
  <c r="N62" i="27"/>
  <c r="N62" i="28"/>
  <c r="N62" i="29"/>
  <c r="M62" i="26"/>
  <c r="M62" i="27"/>
  <c r="M62" i="28"/>
  <c r="M62" i="29"/>
  <c r="L62" i="26"/>
  <c r="L62" i="27"/>
  <c r="L62" i="28"/>
  <c r="L62" i="29"/>
  <c r="K62" i="26"/>
  <c r="K62" i="27"/>
  <c r="K62" i="28"/>
  <c r="K62" i="29"/>
  <c r="J62" i="26"/>
  <c r="J62" i="27"/>
  <c r="J62" i="28"/>
  <c r="J62" i="29"/>
  <c r="I62" i="26"/>
  <c r="I62" i="27"/>
  <c r="I62" i="28"/>
  <c r="I62" i="29"/>
  <c r="H62" i="26"/>
  <c r="H62" i="27"/>
  <c r="H62" i="28"/>
  <c r="H62" i="29"/>
  <c r="G62" i="26"/>
  <c r="G62" i="27"/>
  <c r="G62" i="28"/>
  <c r="G62" i="29"/>
  <c r="F62" i="26"/>
  <c r="F62" i="27"/>
  <c r="F62" i="28"/>
  <c r="F62" i="29"/>
  <c r="E62" i="26"/>
  <c r="E62" i="27"/>
  <c r="E62" i="28"/>
  <c r="E62" i="29"/>
  <c r="D62" i="26"/>
  <c r="D62" i="27"/>
  <c r="D62" i="28"/>
  <c r="R61" i="26"/>
  <c r="R61" i="27"/>
  <c r="R61" i="28"/>
  <c r="R61" i="29"/>
  <c r="Q61" i="26"/>
  <c r="Q61" i="27"/>
  <c r="Q61" i="28"/>
  <c r="Q61" i="29"/>
  <c r="P61" i="26"/>
  <c r="P61" i="27"/>
  <c r="P61" i="28"/>
  <c r="P61" i="29"/>
  <c r="O61" i="26"/>
  <c r="O61" i="27"/>
  <c r="O61" i="28"/>
  <c r="O61" i="29"/>
  <c r="N61" i="26"/>
  <c r="N61" i="27"/>
  <c r="N61" i="28"/>
  <c r="N61" i="29"/>
  <c r="M61" i="26"/>
  <c r="M61" i="27"/>
  <c r="M61" i="28"/>
  <c r="M61" i="29"/>
  <c r="L61" i="26"/>
  <c r="L61" i="27"/>
  <c r="L61" i="28"/>
  <c r="L61" i="29"/>
  <c r="K61" i="26"/>
  <c r="K61" i="27"/>
  <c r="K61" i="28"/>
  <c r="K61" i="29"/>
  <c r="J61" i="26"/>
  <c r="J61" i="27"/>
  <c r="J61" i="28"/>
  <c r="J61" i="29"/>
  <c r="I61" i="26"/>
  <c r="I61" i="27"/>
  <c r="I61" i="28"/>
  <c r="I61" i="29"/>
  <c r="H61" i="26"/>
  <c r="H61" i="27"/>
  <c r="H61" i="28"/>
  <c r="H61" i="29"/>
  <c r="G61" i="26"/>
  <c r="G61" i="27"/>
  <c r="G61" i="28"/>
  <c r="G61" i="29"/>
  <c r="F61" i="26"/>
  <c r="F61" i="27"/>
  <c r="F61" i="28"/>
  <c r="F61" i="29"/>
  <c r="E61" i="26"/>
  <c r="E61" i="27"/>
  <c r="E61" i="28"/>
  <c r="E61" i="29"/>
  <c r="D61" i="26"/>
  <c r="D61" i="27"/>
  <c r="D61" i="28"/>
  <c r="R60" i="26"/>
  <c r="R60" i="27"/>
  <c r="R60" i="28"/>
  <c r="R60" i="29"/>
  <c r="Q60" i="26"/>
  <c r="Q60" i="27"/>
  <c r="Q60" i="28"/>
  <c r="Q60" i="29"/>
  <c r="P60" i="26"/>
  <c r="P60" i="27"/>
  <c r="P60" i="28"/>
  <c r="P60" i="29"/>
  <c r="O60" i="26"/>
  <c r="O60" i="27"/>
  <c r="O60" i="28"/>
  <c r="O60" i="29"/>
  <c r="N60" i="26"/>
  <c r="N60" i="27"/>
  <c r="N60" i="28"/>
  <c r="N60" i="29"/>
  <c r="M60" i="26"/>
  <c r="M60" i="27"/>
  <c r="M60" i="28"/>
  <c r="M60" i="29"/>
  <c r="L60" i="26"/>
  <c r="L60" i="27"/>
  <c r="L60" i="28"/>
  <c r="L60" i="29"/>
  <c r="K60" i="26"/>
  <c r="K60" i="27"/>
  <c r="K60" i="28"/>
  <c r="K60" i="29"/>
  <c r="J60" i="26"/>
  <c r="J60" i="27"/>
  <c r="J60" i="28"/>
  <c r="J60" i="29"/>
  <c r="I60" i="26"/>
  <c r="I60" i="27"/>
  <c r="H60" i="26"/>
  <c r="H60" i="27"/>
  <c r="H60" i="28"/>
  <c r="H60" i="29"/>
  <c r="G60" i="26"/>
  <c r="G60" i="27"/>
  <c r="G60" i="28"/>
  <c r="F60" i="26"/>
  <c r="F60" i="27"/>
  <c r="F60" i="28"/>
  <c r="F60" i="29"/>
  <c r="E60" i="26"/>
  <c r="E60" i="27"/>
  <c r="E60" i="28"/>
  <c r="E60" i="29"/>
  <c r="D60" i="26"/>
  <c r="D60" i="27"/>
  <c r="D60" i="28"/>
  <c r="R59" i="26"/>
  <c r="R59" i="27"/>
  <c r="R59" i="28"/>
  <c r="R59" i="29"/>
  <c r="Q59" i="26"/>
  <c r="Q59" i="27"/>
  <c r="Q59" i="28"/>
  <c r="Q59" i="29"/>
  <c r="P59" i="26"/>
  <c r="P59" i="27"/>
  <c r="P59" i="28"/>
  <c r="P59" i="29"/>
  <c r="O59" i="26"/>
  <c r="O59" i="27"/>
  <c r="O59" i="28"/>
  <c r="O59" i="29"/>
  <c r="N59" i="26"/>
  <c r="N59" i="27"/>
  <c r="N59" i="28"/>
  <c r="N59" i="29"/>
  <c r="M59" i="26"/>
  <c r="M59" i="27"/>
  <c r="M59" i="28"/>
  <c r="M59" i="29"/>
  <c r="L59" i="26"/>
  <c r="L59" i="27"/>
  <c r="L59" i="28"/>
  <c r="L59" i="29"/>
  <c r="K59" i="26"/>
  <c r="K59" i="27"/>
  <c r="K59" i="28"/>
  <c r="K59" i="29"/>
  <c r="J59" i="26"/>
  <c r="J59" i="27"/>
  <c r="J59" i="28"/>
  <c r="J59" i="29"/>
  <c r="I59" i="26"/>
  <c r="I59" i="27"/>
  <c r="I59" i="28"/>
  <c r="I59" i="29"/>
  <c r="H59" i="26"/>
  <c r="H59" i="27"/>
  <c r="H59" i="28"/>
  <c r="H59" i="29"/>
  <c r="G59" i="26"/>
  <c r="G59" i="27"/>
  <c r="G59" i="28"/>
  <c r="G59" i="29"/>
  <c r="F59" i="26"/>
  <c r="F59" i="27"/>
  <c r="F59" i="28"/>
  <c r="F59" i="29"/>
  <c r="E59" i="26"/>
  <c r="E59" i="27"/>
  <c r="E59" i="28"/>
  <c r="E59" i="29"/>
  <c r="D59" i="26"/>
  <c r="D59" i="27"/>
  <c r="D59" i="28"/>
  <c r="R58" i="26"/>
  <c r="R58" i="27"/>
  <c r="R58" i="28"/>
  <c r="R58" i="29"/>
  <c r="Q58" i="26"/>
  <c r="Q58" i="27"/>
  <c r="Q58" i="28"/>
  <c r="Q58" i="29"/>
  <c r="P58" i="26"/>
  <c r="P58" i="27"/>
  <c r="P58" i="28"/>
  <c r="P58" i="29"/>
  <c r="O58" i="26"/>
  <c r="O58" i="27"/>
  <c r="O58" i="28"/>
  <c r="O58" i="29"/>
  <c r="N58" i="26"/>
  <c r="N58" i="27"/>
  <c r="N58" i="28"/>
  <c r="N58" i="29"/>
  <c r="M58" i="26"/>
  <c r="M58" i="27"/>
  <c r="M58" i="28"/>
  <c r="M58" i="29"/>
  <c r="L58" i="26"/>
  <c r="L58" i="27"/>
  <c r="L58" i="28"/>
  <c r="L58" i="29"/>
  <c r="K58" i="26"/>
  <c r="K58" i="27"/>
  <c r="K58" i="28"/>
  <c r="K58" i="29"/>
  <c r="J58" i="26"/>
  <c r="J58" i="27"/>
  <c r="J58" i="28"/>
  <c r="J58" i="29"/>
  <c r="I58" i="26"/>
  <c r="I58" i="27"/>
  <c r="I58" i="28"/>
  <c r="I58" i="29"/>
  <c r="H58" i="26"/>
  <c r="H58" i="27"/>
  <c r="H58" i="28"/>
  <c r="H58" i="29"/>
  <c r="G58" i="26"/>
  <c r="G58" i="27"/>
  <c r="G58" i="28"/>
  <c r="G58" i="29"/>
  <c r="F58" i="26"/>
  <c r="F58" i="27"/>
  <c r="F58" i="28"/>
  <c r="F58" i="29"/>
  <c r="E58" i="26"/>
  <c r="E58" i="27"/>
  <c r="E58" i="28"/>
  <c r="E58" i="29"/>
  <c r="D58" i="26"/>
  <c r="D58" i="27"/>
  <c r="D58" i="28"/>
  <c r="R57" i="26"/>
  <c r="R57" i="27"/>
  <c r="R57" i="28"/>
  <c r="R57" i="29"/>
  <c r="Q57" i="26"/>
  <c r="Q57" i="27"/>
  <c r="Q57" i="28"/>
  <c r="Q57" i="29"/>
  <c r="P57" i="26"/>
  <c r="P57" i="27"/>
  <c r="P57" i="28"/>
  <c r="P57" i="29"/>
  <c r="O57" i="26"/>
  <c r="O57" i="27"/>
  <c r="O57" i="28"/>
  <c r="O57" i="29"/>
  <c r="N57" i="26"/>
  <c r="N57" i="27"/>
  <c r="N57" i="28"/>
  <c r="N57" i="29"/>
  <c r="M57" i="26"/>
  <c r="M57" i="27"/>
  <c r="M57" i="28"/>
  <c r="M57" i="29"/>
  <c r="L57" i="26"/>
  <c r="L57" i="27"/>
  <c r="L57" i="28"/>
  <c r="L57" i="29"/>
  <c r="K57" i="26"/>
  <c r="K57" i="27"/>
  <c r="K57" i="28"/>
  <c r="K57" i="29"/>
  <c r="J57" i="26"/>
  <c r="J57" i="27"/>
  <c r="J57" i="28"/>
  <c r="J57" i="29"/>
  <c r="I57" i="26"/>
  <c r="I57" i="27"/>
  <c r="I57" i="28"/>
  <c r="I57" i="29"/>
  <c r="H57" i="26"/>
  <c r="H57" i="27"/>
  <c r="H57" i="28"/>
  <c r="H57" i="29"/>
  <c r="G57" i="26"/>
  <c r="G57" i="27"/>
  <c r="G57" i="28"/>
  <c r="G57" i="29"/>
  <c r="F57" i="26"/>
  <c r="F57" i="27"/>
  <c r="F57" i="28"/>
  <c r="F57" i="29"/>
  <c r="E57" i="26"/>
  <c r="E57" i="27"/>
  <c r="E57" i="28"/>
  <c r="E57" i="29"/>
  <c r="D57" i="26"/>
  <c r="D57" i="27"/>
  <c r="D57" i="28"/>
  <c r="R56" i="26"/>
  <c r="R56" i="27"/>
  <c r="R56" i="28"/>
  <c r="R56" i="29"/>
  <c r="Q56" i="26"/>
  <c r="Q56" i="27"/>
  <c r="Q56" i="28"/>
  <c r="Q56" i="29"/>
  <c r="P56" i="26"/>
  <c r="P56" i="27"/>
  <c r="P56" i="28"/>
  <c r="P56" i="29"/>
  <c r="O56" i="26"/>
  <c r="O56" i="27"/>
  <c r="O56" i="28"/>
  <c r="O56" i="29"/>
  <c r="N56" i="26"/>
  <c r="N56" i="27"/>
  <c r="N56" i="28"/>
  <c r="N56" i="29"/>
  <c r="M56" i="26"/>
  <c r="M56" i="27"/>
  <c r="M56" i="28"/>
  <c r="M56" i="29"/>
  <c r="L56" i="26"/>
  <c r="L56" i="27"/>
  <c r="L56" i="28"/>
  <c r="L56" i="29"/>
  <c r="K56" i="26"/>
  <c r="K56" i="27"/>
  <c r="K56" i="28"/>
  <c r="K56" i="29"/>
  <c r="J56" i="26"/>
  <c r="J56" i="27"/>
  <c r="J56" i="28"/>
  <c r="J56" i="29"/>
  <c r="I56" i="26"/>
  <c r="I56" i="27"/>
  <c r="I56" i="28"/>
  <c r="H56" i="26"/>
  <c r="H56" i="27"/>
  <c r="H56" i="28"/>
  <c r="H56" i="29"/>
  <c r="G56" i="26"/>
  <c r="G56" i="27"/>
  <c r="F56" i="26"/>
  <c r="F56" i="27"/>
  <c r="F56" i="28"/>
  <c r="F56" i="29"/>
  <c r="E56" i="26"/>
  <c r="E56" i="27"/>
  <c r="E56" i="28"/>
  <c r="E56" i="29"/>
  <c r="D56" i="26"/>
  <c r="D56" i="27"/>
  <c r="D56" i="28"/>
  <c r="R55" i="26"/>
  <c r="R55" i="27"/>
  <c r="R55" i="28"/>
  <c r="R55" i="29"/>
  <c r="Q55" i="26"/>
  <c r="Q55" i="27"/>
  <c r="Q55" i="28"/>
  <c r="Q55" i="29"/>
  <c r="P55" i="26"/>
  <c r="P55" i="27"/>
  <c r="O55" i="26"/>
  <c r="O55" i="27"/>
  <c r="O55" i="28"/>
  <c r="O55" i="29"/>
  <c r="N55" i="26"/>
  <c r="N55" i="27"/>
  <c r="N55" i="28"/>
  <c r="N55" i="29"/>
  <c r="M55" i="26"/>
  <c r="M55" i="27"/>
  <c r="M55" i="28"/>
  <c r="M55" i="29"/>
  <c r="L55" i="26"/>
  <c r="L55" i="27"/>
  <c r="L55" i="28"/>
  <c r="L55" i="29"/>
  <c r="K55" i="26"/>
  <c r="K55" i="27"/>
  <c r="K55" i="28"/>
  <c r="K55" i="29"/>
  <c r="J55" i="26"/>
  <c r="J55" i="27"/>
  <c r="J55" i="28"/>
  <c r="J55" i="29"/>
  <c r="I55" i="26"/>
  <c r="I55" i="27"/>
  <c r="I55" i="28"/>
  <c r="I55" i="29"/>
  <c r="H55" i="26"/>
  <c r="H55" i="27"/>
  <c r="H55" i="28"/>
  <c r="H55" i="29"/>
  <c r="G55" i="26"/>
  <c r="G55" i="27"/>
  <c r="G55" i="28"/>
  <c r="G55" i="29"/>
  <c r="F55" i="26"/>
  <c r="F55" i="27"/>
  <c r="F55" i="28"/>
  <c r="F55" i="29"/>
  <c r="E55" i="26"/>
  <c r="E55" i="27"/>
  <c r="E55" i="28"/>
  <c r="E55" i="29"/>
  <c r="D55" i="26"/>
  <c r="R45" i="26"/>
  <c r="R45" i="27"/>
  <c r="R45" i="28"/>
  <c r="R45" i="29"/>
  <c r="Q45" i="26"/>
  <c r="Q45" i="27"/>
  <c r="Q45" i="28"/>
  <c r="Q45" i="29"/>
  <c r="P45" i="26"/>
  <c r="P45" i="27"/>
  <c r="P45" i="28"/>
  <c r="P45" i="29"/>
  <c r="O45" i="26"/>
  <c r="O45" i="27"/>
  <c r="O45" i="28"/>
  <c r="O45" i="29"/>
  <c r="N45" i="26"/>
  <c r="N45" i="27"/>
  <c r="N45" i="28"/>
  <c r="N45" i="29"/>
  <c r="M45" i="26"/>
  <c r="M45" i="27"/>
  <c r="M45" i="28"/>
  <c r="M45" i="29"/>
  <c r="L45" i="26"/>
  <c r="L45" i="27"/>
  <c r="L45" i="28"/>
  <c r="L45" i="29"/>
  <c r="K45" i="26"/>
  <c r="K45" i="27"/>
  <c r="K45" i="28"/>
  <c r="K45" i="29"/>
  <c r="J45" i="26"/>
  <c r="J45" i="27"/>
  <c r="J45" i="28"/>
  <c r="J45" i="29"/>
  <c r="I45" i="26"/>
  <c r="I45" i="27"/>
  <c r="I45" i="28"/>
  <c r="I45" i="29"/>
  <c r="H45" i="26"/>
  <c r="H45" i="27"/>
  <c r="H45" i="28"/>
  <c r="H45" i="29"/>
  <c r="G45" i="26"/>
  <c r="G45" i="27"/>
  <c r="G45" i="28"/>
  <c r="G45" i="29"/>
  <c r="F45" i="26"/>
  <c r="F45" i="27"/>
  <c r="F45" i="28"/>
  <c r="F45" i="29"/>
  <c r="E45" i="26"/>
  <c r="E45" i="27"/>
  <c r="E45" i="28"/>
  <c r="E45" i="29"/>
  <c r="D45" i="26"/>
  <c r="R44" i="26"/>
  <c r="R44" i="27"/>
  <c r="R44" i="28"/>
  <c r="R44" i="29"/>
  <c r="Q44" i="26"/>
  <c r="Q44" i="19"/>
  <c r="P44" i="26"/>
  <c r="P44" i="27"/>
  <c r="P44" i="28"/>
  <c r="P44" i="21"/>
  <c r="P44" i="29"/>
  <c r="P44" i="22"/>
  <c r="O44" i="26"/>
  <c r="O44" i="27"/>
  <c r="O44" i="28"/>
  <c r="O44" i="29"/>
  <c r="N44" i="26"/>
  <c r="N44" i="27"/>
  <c r="N44" i="28"/>
  <c r="N44" i="29"/>
  <c r="M44" i="26"/>
  <c r="M44" i="27"/>
  <c r="M44" i="28"/>
  <c r="M44" i="29"/>
  <c r="L44" i="26"/>
  <c r="L44" i="27"/>
  <c r="L44" i="28"/>
  <c r="L44" i="29"/>
  <c r="K44" i="26"/>
  <c r="K44" i="27"/>
  <c r="K44" i="28"/>
  <c r="K44" i="29"/>
  <c r="J44" i="26"/>
  <c r="J44" i="27"/>
  <c r="J44" i="28"/>
  <c r="J44" i="29"/>
  <c r="I44" i="26"/>
  <c r="I44" i="27"/>
  <c r="I44" i="28"/>
  <c r="I44" i="29"/>
  <c r="H44" i="26"/>
  <c r="H44" i="27"/>
  <c r="H44" i="28"/>
  <c r="H44" i="29"/>
  <c r="G44" i="26"/>
  <c r="G44" i="27"/>
  <c r="F44" i="26"/>
  <c r="F44" i="27"/>
  <c r="E44" i="26"/>
  <c r="E44" i="27"/>
  <c r="E44" i="28"/>
  <c r="E44" i="29"/>
  <c r="D44" i="26"/>
  <c r="D44" i="27"/>
  <c r="D44" i="28"/>
  <c r="R43" i="26"/>
  <c r="R43" i="27"/>
  <c r="R43" i="28"/>
  <c r="R43" i="29"/>
  <c r="Q43" i="26"/>
  <c r="Q43" i="27"/>
  <c r="Q43" i="28"/>
  <c r="Q43" i="29"/>
  <c r="P43" i="26"/>
  <c r="P43" i="27"/>
  <c r="P43" i="28"/>
  <c r="P43" i="29"/>
  <c r="O43" i="26"/>
  <c r="O43" i="27"/>
  <c r="O43" i="28"/>
  <c r="O43" i="29"/>
  <c r="N43" i="26"/>
  <c r="N43" i="27"/>
  <c r="N43" i="28"/>
  <c r="N43" i="29"/>
  <c r="M43" i="26"/>
  <c r="M43" i="27"/>
  <c r="M43" i="28"/>
  <c r="M43" i="29"/>
  <c r="L43" i="26"/>
  <c r="L43" i="27"/>
  <c r="L43" i="28"/>
  <c r="L43" i="29"/>
  <c r="K43" i="26"/>
  <c r="K43" i="27"/>
  <c r="K43" i="28"/>
  <c r="K43" i="29"/>
  <c r="J43" i="26"/>
  <c r="J43" i="27"/>
  <c r="J43" i="28"/>
  <c r="J43" i="29"/>
  <c r="I43" i="26"/>
  <c r="I43" i="27"/>
  <c r="I43" i="28"/>
  <c r="I43" i="29"/>
  <c r="H43" i="26"/>
  <c r="H43" i="27"/>
  <c r="H43" i="28"/>
  <c r="H43" i="29"/>
  <c r="G43" i="26"/>
  <c r="G43" i="27"/>
  <c r="G43" i="28"/>
  <c r="G43" i="29"/>
  <c r="F43" i="26"/>
  <c r="F43" i="27"/>
  <c r="F43" i="28"/>
  <c r="F43" i="29"/>
  <c r="E43" i="26"/>
  <c r="E43" i="27"/>
  <c r="E43" i="28"/>
  <c r="E43" i="29"/>
  <c r="D43" i="26"/>
  <c r="R42" i="26"/>
  <c r="R42" i="27"/>
  <c r="R42" i="28"/>
  <c r="R42" i="29"/>
  <c r="Q42" i="26"/>
  <c r="Q42" i="27"/>
  <c r="Q42" i="28"/>
  <c r="Q42" i="29"/>
  <c r="P42" i="26"/>
  <c r="P42" i="27"/>
  <c r="P42" i="28"/>
  <c r="P42" i="29"/>
  <c r="O42" i="26"/>
  <c r="O42" i="27"/>
  <c r="O42" i="28"/>
  <c r="O42" i="29"/>
  <c r="N42" i="26"/>
  <c r="N42" i="27"/>
  <c r="N42" i="28"/>
  <c r="N42" i="29"/>
  <c r="M42" i="26"/>
  <c r="M42" i="27"/>
  <c r="M42" i="28"/>
  <c r="M42" i="29"/>
  <c r="L42" i="26"/>
  <c r="L42" i="27"/>
  <c r="L42" i="28"/>
  <c r="L42" i="29"/>
  <c r="K42" i="26"/>
  <c r="K42" i="27"/>
  <c r="K42" i="28"/>
  <c r="K42" i="29"/>
  <c r="J42" i="26"/>
  <c r="J42" i="27"/>
  <c r="J42" i="28"/>
  <c r="J42" i="29"/>
  <c r="I42" i="26"/>
  <c r="I42" i="27"/>
  <c r="I42" i="28"/>
  <c r="I42" i="29"/>
  <c r="H42" i="26"/>
  <c r="H42" i="27"/>
  <c r="H42" i="28"/>
  <c r="H42" i="29"/>
  <c r="G42" i="26"/>
  <c r="G42" i="27"/>
  <c r="G42" i="28"/>
  <c r="G42" i="29"/>
  <c r="F42" i="26"/>
  <c r="F42" i="27"/>
  <c r="F42" i="28"/>
  <c r="F42" i="29"/>
  <c r="E42" i="26"/>
  <c r="E42" i="27"/>
  <c r="E42" i="28"/>
  <c r="E42" i="29"/>
  <c r="D42" i="26"/>
  <c r="R41" i="26"/>
  <c r="R41" i="27"/>
  <c r="R41" i="28"/>
  <c r="R41" i="29"/>
  <c r="Q41" i="26"/>
  <c r="Q41" i="27"/>
  <c r="Q41" i="28"/>
  <c r="Q41" i="29"/>
  <c r="P41" i="26"/>
  <c r="P41" i="27"/>
  <c r="P41" i="28"/>
  <c r="P41" i="29"/>
  <c r="O41" i="26"/>
  <c r="O41" i="27"/>
  <c r="O41" i="28"/>
  <c r="O41" i="29"/>
  <c r="N41" i="26"/>
  <c r="N41" i="27"/>
  <c r="N41" i="28"/>
  <c r="N41" i="29"/>
  <c r="M41" i="26"/>
  <c r="M41" i="27"/>
  <c r="M41" i="28"/>
  <c r="M41" i="29"/>
  <c r="L41" i="26"/>
  <c r="L41" i="27"/>
  <c r="L41" i="28"/>
  <c r="L41" i="29"/>
  <c r="K41" i="26"/>
  <c r="K41" i="27"/>
  <c r="K41" i="28"/>
  <c r="K41" i="29"/>
  <c r="J41" i="26"/>
  <c r="J41" i="27"/>
  <c r="J41" i="28"/>
  <c r="J41" i="29"/>
  <c r="I41" i="26"/>
  <c r="I41" i="27"/>
  <c r="I41" i="28"/>
  <c r="I41" i="29"/>
  <c r="H41" i="26"/>
  <c r="H41" i="27"/>
  <c r="H41" i="28"/>
  <c r="H41" i="29"/>
  <c r="G41" i="26"/>
  <c r="G41" i="27"/>
  <c r="G41" i="28"/>
  <c r="G41" i="29"/>
  <c r="F41" i="26"/>
  <c r="F41" i="27"/>
  <c r="F41" i="28"/>
  <c r="F41" i="29"/>
  <c r="E41" i="26"/>
  <c r="E41" i="27"/>
  <c r="E41" i="28"/>
  <c r="E41" i="29"/>
  <c r="D41" i="26"/>
  <c r="D41" i="27"/>
  <c r="D41" i="28"/>
  <c r="R40" i="26"/>
  <c r="R40" i="27"/>
  <c r="R40" i="28"/>
  <c r="R40" i="29"/>
  <c r="Q40" i="26"/>
  <c r="Q40" i="27"/>
  <c r="Q40" i="28"/>
  <c r="Q40" i="29"/>
  <c r="P40" i="26"/>
  <c r="P40" i="27"/>
  <c r="P40" i="28"/>
  <c r="P40" i="29"/>
  <c r="O40" i="26"/>
  <c r="O40" i="27"/>
  <c r="O40" i="28"/>
  <c r="O40" i="29"/>
  <c r="N40" i="26"/>
  <c r="N40" i="27"/>
  <c r="N40" i="28"/>
  <c r="N40" i="29"/>
  <c r="M40" i="26"/>
  <c r="M40" i="27"/>
  <c r="M40" i="28"/>
  <c r="M40" i="29"/>
  <c r="L40" i="26"/>
  <c r="L40" i="27"/>
  <c r="L40" i="28"/>
  <c r="L40" i="29"/>
  <c r="K40" i="26"/>
  <c r="K40" i="27"/>
  <c r="K40" i="28"/>
  <c r="K40" i="29"/>
  <c r="J40" i="26"/>
  <c r="J40" i="27"/>
  <c r="J40" i="28"/>
  <c r="J40" i="29"/>
  <c r="I40" i="26"/>
  <c r="I40" i="27"/>
  <c r="I40" i="28"/>
  <c r="I40" i="29"/>
  <c r="H40" i="26"/>
  <c r="H40" i="27"/>
  <c r="H40" i="28"/>
  <c r="H40" i="29"/>
  <c r="G40" i="26"/>
  <c r="G40" i="27"/>
  <c r="G40" i="28"/>
  <c r="G40" i="29"/>
  <c r="F40" i="26"/>
  <c r="F40" i="27"/>
  <c r="F40" i="28"/>
  <c r="F40" i="29"/>
  <c r="E40" i="26"/>
  <c r="E40" i="27"/>
  <c r="E40" i="28"/>
  <c r="E40" i="29"/>
  <c r="D40" i="26"/>
  <c r="R39" i="26"/>
  <c r="R39" i="27"/>
  <c r="R39" i="28"/>
  <c r="R39" i="29"/>
  <c r="Q39" i="26"/>
  <c r="Q39" i="27"/>
  <c r="Q39" i="28"/>
  <c r="Q39" i="29"/>
  <c r="P39" i="26"/>
  <c r="P39" i="27"/>
  <c r="P39" i="28"/>
  <c r="P39" i="29"/>
  <c r="O39" i="26"/>
  <c r="O39" i="27"/>
  <c r="O39" i="28"/>
  <c r="O39" i="29"/>
  <c r="N39" i="26"/>
  <c r="N39" i="27"/>
  <c r="N39" i="28"/>
  <c r="N39" i="29"/>
  <c r="M39" i="26"/>
  <c r="M39" i="27"/>
  <c r="M39" i="28"/>
  <c r="M39" i="29"/>
  <c r="L39" i="26"/>
  <c r="L39" i="27"/>
  <c r="L39" i="28"/>
  <c r="L39" i="29"/>
  <c r="K39" i="26"/>
  <c r="K39" i="27"/>
  <c r="K39" i="28"/>
  <c r="K39" i="29"/>
  <c r="J39" i="26"/>
  <c r="J39" i="27"/>
  <c r="J39" i="28"/>
  <c r="J39" i="29"/>
  <c r="I39" i="26"/>
  <c r="I39" i="27"/>
  <c r="I39" i="28"/>
  <c r="I39" i="29"/>
  <c r="H39" i="26"/>
  <c r="H39" i="27"/>
  <c r="H39" i="28"/>
  <c r="H39" i="29"/>
  <c r="G39" i="26"/>
  <c r="G39" i="27"/>
  <c r="G39" i="28"/>
  <c r="G39" i="29"/>
  <c r="F39" i="26"/>
  <c r="F39" i="27"/>
  <c r="F39" i="28"/>
  <c r="F39" i="29"/>
  <c r="E39" i="26"/>
  <c r="E39" i="27"/>
  <c r="E39" i="28"/>
  <c r="E39" i="29"/>
  <c r="D39" i="26"/>
  <c r="D39" i="27"/>
  <c r="D39" i="28"/>
  <c r="R38" i="26"/>
  <c r="R38" i="27"/>
  <c r="R38" i="28"/>
  <c r="R38" i="29"/>
  <c r="Q38" i="26"/>
  <c r="Q38" i="27"/>
  <c r="Q38" i="28"/>
  <c r="Q38" i="29"/>
  <c r="P38" i="26"/>
  <c r="P38" i="27"/>
  <c r="P38" i="28"/>
  <c r="P38" i="29"/>
  <c r="O38" i="26"/>
  <c r="O38" i="27"/>
  <c r="O38" i="28"/>
  <c r="O38" i="29"/>
  <c r="N38" i="26"/>
  <c r="N38" i="27"/>
  <c r="N38" i="28"/>
  <c r="N38" i="29"/>
  <c r="M38" i="26"/>
  <c r="M38" i="27"/>
  <c r="M38" i="28"/>
  <c r="M38" i="29"/>
  <c r="L38" i="26"/>
  <c r="L38" i="27"/>
  <c r="L38" i="28"/>
  <c r="L38" i="29"/>
  <c r="K38" i="26"/>
  <c r="K38" i="27"/>
  <c r="K38" i="28"/>
  <c r="K38" i="29"/>
  <c r="J38" i="26"/>
  <c r="J38" i="27"/>
  <c r="J38" i="28"/>
  <c r="J38" i="29"/>
  <c r="I38" i="26"/>
  <c r="I38" i="27"/>
  <c r="I38" i="28"/>
  <c r="I38" i="29"/>
  <c r="H38" i="26"/>
  <c r="H38" i="27"/>
  <c r="H38" i="28"/>
  <c r="H38" i="29"/>
  <c r="G38" i="26"/>
  <c r="G38" i="27"/>
  <c r="G38" i="28"/>
  <c r="G38" i="29"/>
  <c r="F38" i="26"/>
  <c r="F38" i="27"/>
  <c r="F38" i="28"/>
  <c r="F38" i="29"/>
  <c r="E38" i="26"/>
  <c r="E38" i="27"/>
  <c r="E38" i="28"/>
  <c r="E38" i="29"/>
  <c r="D38" i="26"/>
  <c r="R37" i="26"/>
  <c r="R37" i="27"/>
  <c r="R37" i="28"/>
  <c r="R37" i="29"/>
  <c r="Q37" i="26"/>
  <c r="Q37" i="27"/>
  <c r="Q37" i="28"/>
  <c r="Q37" i="29"/>
  <c r="P37" i="26"/>
  <c r="P37" i="27"/>
  <c r="P37" i="28"/>
  <c r="P37" i="29"/>
  <c r="O37" i="26"/>
  <c r="O37" i="27"/>
  <c r="O37" i="28"/>
  <c r="O37" i="29"/>
  <c r="N37" i="26"/>
  <c r="N37" i="27"/>
  <c r="N37" i="28"/>
  <c r="N37" i="29"/>
  <c r="M37" i="26"/>
  <c r="M37" i="27"/>
  <c r="M37" i="28"/>
  <c r="M37" i="29"/>
  <c r="L37" i="26"/>
  <c r="L37" i="27"/>
  <c r="L37" i="28"/>
  <c r="L37" i="29"/>
  <c r="K37" i="26"/>
  <c r="K37" i="27"/>
  <c r="K37" i="28"/>
  <c r="K37" i="29"/>
  <c r="J37" i="26"/>
  <c r="J37" i="27"/>
  <c r="J37" i="28"/>
  <c r="J37" i="29"/>
  <c r="I37" i="26"/>
  <c r="I37" i="27"/>
  <c r="I37" i="28"/>
  <c r="I37" i="29"/>
  <c r="H37" i="26"/>
  <c r="H37" i="27"/>
  <c r="H37" i="28"/>
  <c r="H37" i="29"/>
  <c r="G37" i="26"/>
  <c r="G37" i="27"/>
  <c r="G37" i="28"/>
  <c r="G37" i="29"/>
  <c r="F37" i="26"/>
  <c r="F37" i="27"/>
  <c r="F37" i="28"/>
  <c r="F37" i="29"/>
  <c r="E37" i="26"/>
  <c r="E37" i="27"/>
  <c r="E37" i="28"/>
  <c r="E37" i="29"/>
  <c r="D37" i="26"/>
  <c r="D37" i="27"/>
  <c r="D37" i="28"/>
  <c r="R33" i="26"/>
  <c r="R33" i="27"/>
  <c r="R33" i="28"/>
  <c r="R33" i="29"/>
  <c r="Q33" i="26"/>
  <c r="Q33" i="27"/>
  <c r="Q33" i="28"/>
  <c r="Q33" i="29"/>
  <c r="P33" i="26"/>
  <c r="P33" i="27"/>
  <c r="P33" i="28"/>
  <c r="P33" i="29"/>
  <c r="O33" i="26"/>
  <c r="O33" i="27"/>
  <c r="O33" i="28"/>
  <c r="O33" i="29"/>
  <c r="N33" i="26"/>
  <c r="N33" i="27"/>
  <c r="N33" i="28"/>
  <c r="N33" i="29"/>
  <c r="M33" i="26"/>
  <c r="M33" i="27"/>
  <c r="M33" i="28"/>
  <c r="M33" i="29"/>
  <c r="L33" i="26"/>
  <c r="L33" i="27"/>
  <c r="L33" i="28"/>
  <c r="L33" i="29"/>
  <c r="K33" i="26"/>
  <c r="K33" i="27"/>
  <c r="K33" i="28"/>
  <c r="K33" i="29"/>
  <c r="J33" i="26"/>
  <c r="J33" i="27"/>
  <c r="J33" i="28"/>
  <c r="J33" i="29"/>
  <c r="I33" i="26"/>
  <c r="I33" i="27"/>
  <c r="I33" i="28"/>
  <c r="I33" i="29"/>
  <c r="H33" i="26"/>
  <c r="H33" i="27"/>
  <c r="H33" i="28"/>
  <c r="H33" i="29"/>
  <c r="G33" i="26"/>
  <c r="G33" i="27"/>
  <c r="G33" i="28"/>
  <c r="G33" i="29"/>
  <c r="F33" i="26"/>
  <c r="F33" i="27"/>
  <c r="F33" i="28"/>
  <c r="F33" i="29"/>
  <c r="E33" i="26"/>
  <c r="E33" i="27"/>
  <c r="E33" i="28"/>
  <c r="E33" i="29"/>
  <c r="D33" i="26"/>
  <c r="R32" i="26"/>
  <c r="R32" i="27"/>
  <c r="R32" i="28"/>
  <c r="R32" i="29"/>
  <c r="Q32" i="26"/>
  <c r="Q32" i="27"/>
  <c r="Q32" i="28"/>
  <c r="Q32" i="29"/>
  <c r="P32" i="26"/>
  <c r="P32" i="27"/>
  <c r="O32" i="26"/>
  <c r="O32" i="27"/>
  <c r="O32" i="28"/>
  <c r="O32" i="29"/>
  <c r="N32" i="26"/>
  <c r="N32" i="27"/>
  <c r="N32" i="28"/>
  <c r="N32" i="29"/>
  <c r="M32" i="26"/>
  <c r="M32" i="27"/>
  <c r="M32" i="28"/>
  <c r="M32" i="29"/>
  <c r="L32" i="26"/>
  <c r="L32" i="27"/>
  <c r="L32" i="28"/>
  <c r="L32" i="29"/>
  <c r="K32" i="26"/>
  <c r="K32" i="27"/>
  <c r="K32" i="28"/>
  <c r="K32" i="29"/>
  <c r="J32" i="26"/>
  <c r="J32" i="27"/>
  <c r="J32" i="28"/>
  <c r="J32" i="29"/>
  <c r="I32" i="26"/>
  <c r="I32" i="27"/>
  <c r="I32" i="28"/>
  <c r="I32" i="29"/>
  <c r="H32" i="26"/>
  <c r="H32" i="27"/>
  <c r="H32" i="28"/>
  <c r="H32" i="29"/>
  <c r="G32" i="26"/>
  <c r="G32" i="27"/>
  <c r="G32" i="28"/>
  <c r="G32" i="29"/>
  <c r="F32" i="26"/>
  <c r="F32" i="27"/>
  <c r="F32" i="28"/>
  <c r="E32" i="26"/>
  <c r="E32" i="27"/>
  <c r="E32" i="28"/>
  <c r="E32" i="29"/>
  <c r="D32" i="26"/>
  <c r="D32" i="27"/>
  <c r="D32" i="28"/>
  <c r="R31" i="26"/>
  <c r="R31" i="27"/>
  <c r="R31" i="28"/>
  <c r="R31" i="29"/>
  <c r="Q31" i="26"/>
  <c r="Q31" i="27"/>
  <c r="Q31" i="28"/>
  <c r="Q31" i="29"/>
  <c r="P31" i="26"/>
  <c r="P31" i="27"/>
  <c r="P31" i="28"/>
  <c r="P31" i="29"/>
  <c r="O31" i="26"/>
  <c r="O31" i="27"/>
  <c r="O31" i="28"/>
  <c r="O31" i="29"/>
  <c r="N31" i="26"/>
  <c r="N31" i="27"/>
  <c r="N31" i="28"/>
  <c r="N31" i="29"/>
  <c r="M31" i="26"/>
  <c r="M31" i="27"/>
  <c r="M31" i="28"/>
  <c r="M31" i="29"/>
  <c r="L31" i="26"/>
  <c r="L31" i="27"/>
  <c r="L31" i="28"/>
  <c r="L31" i="29"/>
  <c r="K31" i="26"/>
  <c r="K31" i="27"/>
  <c r="K31" i="28"/>
  <c r="K31" i="29"/>
  <c r="J31" i="26"/>
  <c r="J31" i="27"/>
  <c r="J31" i="28"/>
  <c r="J31" i="29"/>
  <c r="I31" i="26"/>
  <c r="I31" i="27"/>
  <c r="I31" i="28"/>
  <c r="I31" i="29"/>
  <c r="H31" i="26"/>
  <c r="H31" i="27"/>
  <c r="H31" i="28"/>
  <c r="H31" i="29"/>
  <c r="G31" i="26"/>
  <c r="G31" i="27"/>
  <c r="G31" i="28"/>
  <c r="G31" i="29"/>
  <c r="F31" i="26"/>
  <c r="F31" i="27"/>
  <c r="F31" i="28"/>
  <c r="F31" i="29"/>
  <c r="E31" i="26"/>
  <c r="E31" i="27"/>
  <c r="E31" i="28"/>
  <c r="E31" i="29"/>
  <c r="D31" i="26"/>
  <c r="D31" i="27"/>
  <c r="D31" i="28"/>
  <c r="R30" i="26"/>
  <c r="R30" i="27"/>
  <c r="R30" i="28"/>
  <c r="R30" i="29"/>
  <c r="Q30" i="26"/>
  <c r="Q30" i="27"/>
  <c r="Q30" i="28"/>
  <c r="Q30" i="29"/>
  <c r="P30" i="26"/>
  <c r="P30" i="27"/>
  <c r="P30" i="28"/>
  <c r="P30" i="29"/>
  <c r="O30" i="26"/>
  <c r="O30" i="27"/>
  <c r="O30" i="28"/>
  <c r="O30" i="29"/>
  <c r="N30" i="26"/>
  <c r="N30" i="27"/>
  <c r="N30" i="28"/>
  <c r="N30" i="29"/>
  <c r="M30" i="26"/>
  <c r="M30" i="27"/>
  <c r="M30" i="28"/>
  <c r="M30" i="29"/>
  <c r="L30" i="26"/>
  <c r="L30" i="27"/>
  <c r="L30" i="28"/>
  <c r="L30" i="29"/>
  <c r="K30" i="26"/>
  <c r="K30" i="27"/>
  <c r="K30" i="28"/>
  <c r="K30" i="29"/>
  <c r="J30" i="26"/>
  <c r="J30" i="27"/>
  <c r="J30" i="28"/>
  <c r="J30" i="29"/>
  <c r="I30" i="26"/>
  <c r="I30" i="27"/>
  <c r="I30" i="28"/>
  <c r="I30" i="29"/>
  <c r="H30" i="26"/>
  <c r="H30" i="27"/>
  <c r="H30" i="28"/>
  <c r="H30" i="29"/>
  <c r="G30" i="26"/>
  <c r="G30" i="27"/>
  <c r="G30" i="28"/>
  <c r="G30" i="29"/>
  <c r="F30" i="26"/>
  <c r="F30" i="27"/>
  <c r="F30" i="28"/>
  <c r="F30" i="29"/>
  <c r="E30" i="26"/>
  <c r="E30" i="27"/>
  <c r="E30" i="28"/>
  <c r="E30" i="29"/>
  <c r="D30" i="26"/>
  <c r="D30" i="27"/>
  <c r="D30" i="28"/>
  <c r="R29" i="26"/>
  <c r="R29" i="27"/>
  <c r="R29" i="28"/>
  <c r="R29" i="29"/>
  <c r="Q29" i="26"/>
  <c r="Q29" i="27"/>
  <c r="Q29" i="28"/>
  <c r="Q29" i="29"/>
  <c r="P29" i="26"/>
  <c r="P29" i="27"/>
  <c r="P29" i="28"/>
  <c r="P29" i="29"/>
  <c r="O29" i="26"/>
  <c r="O29" i="27"/>
  <c r="O29" i="28"/>
  <c r="O29" i="29"/>
  <c r="N29" i="26"/>
  <c r="N29" i="27"/>
  <c r="N29" i="28"/>
  <c r="N29" i="29"/>
  <c r="M29" i="26"/>
  <c r="M29" i="27"/>
  <c r="M29" i="28"/>
  <c r="M29" i="29"/>
  <c r="L29" i="26"/>
  <c r="L29" i="27"/>
  <c r="L29" i="28"/>
  <c r="L29" i="29"/>
  <c r="K29" i="26"/>
  <c r="K29" i="27"/>
  <c r="K29" i="28"/>
  <c r="K29" i="29"/>
  <c r="J29" i="26"/>
  <c r="J29" i="27"/>
  <c r="J29" i="28"/>
  <c r="J29" i="29"/>
  <c r="I29" i="26"/>
  <c r="I29" i="27"/>
  <c r="I29" i="28"/>
  <c r="I29" i="29"/>
  <c r="H29" i="26"/>
  <c r="H29" i="27"/>
  <c r="H29" i="28"/>
  <c r="H29" i="29"/>
  <c r="G29" i="26"/>
  <c r="G29" i="27"/>
  <c r="G29" i="28"/>
  <c r="G29" i="29"/>
  <c r="F29" i="26"/>
  <c r="F29" i="27"/>
  <c r="F29" i="28"/>
  <c r="F29" i="29"/>
  <c r="E29" i="26"/>
  <c r="E29" i="27"/>
  <c r="E29" i="28"/>
  <c r="E29" i="29"/>
  <c r="D29" i="26"/>
  <c r="D29" i="27"/>
  <c r="R28" i="26"/>
  <c r="R28" i="27"/>
  <c r="R28" i="28"/>
  <c r="R28" i="29"/>
  <c r="Q28" i="26"/>
  <c r="Q28" i="27"/>
  <c r="Q28" i="28"/>
  <c r="Q28" i="29"/>
  <c r="P28" i="26"/>
  <c r="P28" i="27"/>
  <c r="P28" i="28"/>
  <c r="P28" i="29"/>
  <c r="O28" i="26"/>
  <c r="O28" i="27"/>
  <c r="O28" i="28"/>
  <c r="O28" i="29"/>
  <c r="N28" i="26"/>
  <c r="N28" i="27"/>
  <c r="N28" i="28"/>
  <c r="N28" i="29"/>
  <c r="M28" i="26"/>
  <c r="M28" i="27"/>
  <c r="M28" i="28"/>
  <c r="M28" i="29"/>
  <c r="L28" i="26"/>
  <c r="L28" i="27"/>
  <c r="L28" i="28"/>
  <c r="L28" i="29"/>
  <c r="K28" i="26"/>
  <c r="K28" i="27"/>
  <c r="K28" i="28"/>
  <c r="K28" i="29"/>
  <c r="J28" i="26"/>
  <c r="J28" i="27"/>
  <c r="J28" i="28"/>
  <c r="J28" i="29"/>
  <c r="I28" i="26"/>
  <c r="I28" i="27"/>
  <c r="I28" i="28"/>
  <c r="I28" i="29"/>
  <c r="H28" i="26"/>
  <c r="H28" i="27"/>
  <c r="H28" i="28"/>
  <c r="H28" i="29"/>
  <c r="G28" i="26"/>
  <c r="G28" i="27"/>
  <c r="G28" i="28"/>
  <c r="G28" i="29"/>
  <c r="F28" i="26"/>
  <c r="F28" i="27"/>
  <c r="F28" i="28"/>
  <c r="F28" i="29"/>
  <c r="E28" i="26"/>
  <c r="E28" i="27"/>
  <c r="E28" i="28"/>
  <c r="E28" i="29"/>
  <c r="D28" i="26"/>
  <c r="D28" i="27"/>
  <c r="D28" i="28"/>
  <c r="R26" i="26"/>
  <c r="R26" i="27"/>
  <c r="R26" i="28"/>
  <c r="R26" i="29"/>
  <c r="Q26" i="26"/>
  <c r="Q26" i="27"/>
  <c r="P26" i="26"/>
  <c r="P26" i="27"/>
  <c r="P26" i="28"/>
  <c r="P26" i="29"/>
  <c r="O26" i="26"/>
  <c r="O26" i="27"/>
  <c r="O26" i="28"/>
  <c r="O26" i="29"/>
  <c r="N26" i="26"/>
  <c r="N26" i="27"/>
  <c r="N26" i="28"/>
  <c r="N26" i="29"/>
  <c r="M26" i="26"/>
  <c r="M26" i="27"/>
  <c r="M26" i="28"/>
  <c r="M26" i="29"/>
  <c r="L26" i="26"/>
  <c r="L26" i="27"/>
  <c r="L26" i="28"/>
  <c r="L26" i="29"/>
  <c r="K26" i="26"/>
  <c r="K26" i="27"/>
  <c r="K26" i="28"/>
  <c r="K26" i="29"/>
  <c r="J26" i="26"/>
  <c r="J26" i="27"/>
  <c r="J26" i="28"/>
  <c r="J26" i="29"/>
  <c r="I26" i="26"/>
  <c r="I26" i="27"/>
  <c r="I26" i="28"/>
  <c r="I26" i="29"/>
  <c r="H26" i="26"/>
  <c r="H26" i="27"/>
  <c r="H26" i="28"/>
  <c r="H26" i="29"/>
  <c r="G26" i="26"/>
  <c r="G26" i="27"/>
  <c r="F26" i="26"/>
  <c r="F26" i="27"/>
  <c r="F26" i="28"/>
  <c r="F26" i="29"/>
  <c r="E26" i="26"/>
  <c r="E26" i="27"/>
  <c r="E26" i="28"/>
  <c r="E26" i="29"/>
  <c r="D26" i="26"/>
  <c r="D26" i="27"/>
  <c r="D26" i="28"/>
  <c r="R19" i="26"/>
  <c r="R19" i="27"/>
  <c r="R19" i="28"/>
  <c r="R19" i="29"/>
  <c r="Q19" i="26"/>
  <c r="Q19" i="27"/>
  <c r="Q19" i="28"/>
  <c r="Q19" i="29"/>
  <c r="P19" i="26"/>
  <c r="P19" i="27"/>
  <c r="P19" i="28"/>
  <c r="P19" i="29"/>
  <c r="O19" i="26"/>
  <c r="O19" i="27"/>
  <c r="O19" i="28"/>
  <c r="O19" i="29"/>
  <c r="N19" i="26"/>
  <c r="N19" i="27"/>
  <c r="M19" i="26"/>
  <c r="M19" i="27"/>
  <c r="M19" i="28"/>
  <c r="M19" i="29"/>
  <c r="L19" i="26"/>
  <c r="L19" i="27"/>
  <c r="L19" i="28"/>
  <c r="L19" i="29"/>
  <c r="K19" i="26"/>
  <c r="K19" i="27"/>
  <c r="K19" i="28"/>
  <c r="K19" i="29"/>
  <c r="J19" i="26"/>
  <c r="J19" i="27"/>
  <c r="J19" i="28"/>
  <c r="J19" i="29"/>
  <c r="I19" i="26"/>
  <c r="I19" i="27"/>
  <c r="I19" i="28"/>
  <c r="I19" i="29"/>
  <c r="H19" i="26"/>
  <c r="H19" i="27"/>
  <c r="H19" i="28"/>
  <c r="H19" i="29"/>
  <c r="G19" i="26"/>
  <c r="G19" i="27"/>
  <c r="G19" i="28"/>
  <c r="G19" i="29"/>
  <c r="F19" i="26"/>
  <c r="F19" i="27"/>
  <c r="F19" i="28"/>
  <c r="F19" i="29"/>
  <c r="E19" i="26"/>
  <c r="E19" i="27"/>
  <c r="E19" i="28"/>
  <c r="E19" i="29"/>
  <c r="D19" i="26"/>
  <c r="D19" i="27"/>
  <c r="D19" i="28"/>
  <c r="R18" i="26"/>
  <c r="R18" i="27"/>
  <c r="R18" i="28"/>
  <c r="R18" i="29"/>
  <c r="Q18" i="26"/>
  <c r="Q18" i="27"/>
  <c r="P18" i="26"/>
  <c r="P18" i="27"/>
  <c r="P18" i="28"/>
  <c r="P18" i="29"/>
  <c r="O18" i="26"/>
  <c r="O18" i="27"/>
  <c r="O18" i="28"/>
  <c r="O18" i="29"/>
  <c r="N18" i="26"/>
  <c r="N18" i="27"/>
  <c r="N18" i="28"/>
  <c r="N18" i="29"/>
  <c r="M18" i="26"/>
  <c r="M18" i="27"/>
  <c r="M18" i="28"/>
  <c r="M18" i="29"/>
  <c r="L18" i="26"/>
  <c r="L18" i="27"/>
  <c r="L18" i="28"/>
  <c r="L18" i="29"/>
  <c r="K18" i="26"/>
  <c r="K18" i="27"/>
  <c r="K18" i="28"/>
  <c r="K18" i="29"/>
  <c r="J18" i="26"/>
  <c r="J18" i="27"/>
  <c r="J18" i="28"/>
  <c r="J18" i="29"/>
  <c r="I18" i="26"/>
  <c r="I18" i="27"/>
  <c r="I18" i="28"/>
  <c r="I18" i="29"/>
  <c r="H18" i="26"/>
  <c r="H18" i="27"/>
  <c r="H18" i="28"/>
  <c r="H18" i="29"/>
  <c r="G18" i="26"/>
  <c r="G18" i="27"/>
  <c r="G18" i="28"/>
  <c r="G18" i="29"/>
  <c r="F18" i="26"/>
  <c r="F18" i="27"/>
  <c r="F18" i="28"/>
  <c r="F18" i="29"/>
  <c r="E18" i="26"/>
  <c r="E18" i="27"/>
  <c r="E18" i="28"/>
  <c r="E18" i="29"/>
  <c r="D18" i="26"/>
  <c r="D18" i="27"/>
  <c r="L17" i="26"/>
  <c r="L17" i="27"/>
  <c r="L17" i="28"/>
  <c r="L17" i="29"/>
  <c r="J17" i="26"/>
  <c r="J17" i="27"/>
  <c r="J17" i="28"/>
  <c r="J17" i="29"/>
  <c r="I17" i="26"/>
  <c r="I17" i="27"/>
  <c r="I17" i="28"/>
  <c r="I17" i="29"/>
  <c r="R15" i="26"/>
  <c r="R15" i="27"/>
  <c r="R15" i="28"/>
  <c r="R15" i="29"/>
  <c r="Q15" i="26"/>
  <c r="Q15" i="27"/>
  <c r="Q15" i="28"/>
  <c r="Q15" i="29"/>
  <c r="P15" i="26"/>
  <c r="P15" i="27"/>
  <c r="P15" i="28"/>
  <c r="P15" i="29"/>
  <c r="O15" i="26"/>
  <c r="O15" i="27"/>
  <c r="O15" i="28"/>
  <c r="O15" i="29"/>
  <c r="N15" i="26"/>
  <c r="N15" i="27"/>
  <c r="N15" i="28"/>
  <c r="N15" i="29"/>
  <c r="M15" i="26"/>
  <c r="M15" i="27"/>
  <c r="M15" i="28"/>
  <c r="M15" i="29"/>
  <c r="L15" i="26"/>
  <c r="L15" i="27"/>
  <c r="L15" i="28"/>
  <c r="L15" i="29"/>
  <c r="K15" i="26"/>
  <c r="K15" i="27"/>
  <c r="K15" i="28"/>
  <c r="K15" i="29"/>
  <c r="J15" i="26"/>
  <c r="J15" i="27"/>
  <c r="J15" i="28"/>
  <c r="J15" i="29"/>
  <c r="I15" i="26"/>
  <c r="I15" i="27"/>
  <c r="I15" i="28"/>
  <c r="I15" i="29"/>
  <c r="H15" i="26"/>
  <c r="H15" i="27"/>
  <c r="H15" i="28"/>
  <c r="H15" i="29"/>
  <c r="G15" i="26"/>
  <c r="G15" i="27"/>
  <c r="G15" i="28"/>
  <c r="G15" i="29"/>
  <c r="T10" i="26"/>
  <c r="T10" i="27"/>
  <c r="T10" i="28"/>
  <c r="T10" i="29"/>
  <c r="T9" i="27"/>
  <c r="K10" i="26"/>
  <c r="K10" i="27"/>
  <c r="K10" i="28"/>
  <c r="K10" i="29"/>
  <c r="J10" i="26"/>
  <c r="J10" i="27"/>
  <c r="J10" i="28"/>
  <c r="J10" i="29"/>
  <c r="I10" i="26"/>
  <c r="I10" i="27"/>
  <c r="I10" i="28"/>
  <c r="I10" i="29"/>
  <c r="H10" i="26"/>
  <c r="H10" i="27"/>
  <c r="H10" i="28"/>
  <c r="H10" i="29"/>
  <c r="G10" i="26"/>
  <c r="G10" i="27"/>
  <c r="G10" i="28"/>
  <c r="G10" i="29"/>
  <c r="F10" i="26"/>
  <c r="F10" i="27"/>
  <c r="F10" i="28"/>
  <c r="F10" i="29"/>
  <c r="E10" i="26"/>
  <c r="E10" i="27"/>
  <c r="E10" i="28"/>
  <c r="E10" i="29"/>
  <c r="D10" i="26"/>
  <c r="D10" i="27"/>
  <c r="D10" i="28"/>
  <c r="D10" i="29"/>
  <c r="C87" i="26"/>
  <c r="B87" i="26"/>
  <c r="C86" i="26"/>
  <c r="B86" i="26"/>
  <c r="C85" i="26"/>
  <c r="B85" i="26"/>
  <c r="C84" i="26"/>
  <c r="B84" i="26"/>
  <c r="C83" i="26"/>
  <c r="B83" i="26"/>
  <c r="C82" i="26"/>
  <c r="B82" i="26"/>
  <c r="C81" i="26"/>
  <c r="B81" i="26"/>
  <c r="C80" i="26"/>
  <c r="B80" i="26"/>
  <c r="C79" i="26"/>
  <c r="B79" i="26"/>
  <c r="C75" i="26"/>
  <c r="B75" i="26"/>
  <c r="C74" i="26"/>
  <c r="B74" i="26"/>
  <c r="C73" i="26"/>
  <c r="B73" i="26"/>
  <c r="C72" i="26"/>
  <c r="B72" i="26"/>
  <c r="C71" i="26"/>
  <c r="B71" i="26"/>
  <c r="C70" i="26"/>
  <c r="B70" i="26"/>
  <c r="C69" i="26"/>
  <c r="B69" i="26"/>
  <c r="C68" i="26"/>
  <c r="B68" i="26"/>
  <c r="C67" i="26"/>
  <c r="B67" i="26"/>
  <c r="C66" i="26"/>
  <c r="B66" i="26"/>
  <c r="C62" i="26"/>
  <c r="B62" i="26"/>
  <c r="C61" i="26"/>
  <c r="B61" i="26"/>
  <c r="C60" i="26"/>
  <c r="B60" i="26"/>
  <c r="C59" i="26"/>
  <c r="B59" i="26"/>
  <c r="C58" i="26"/>
  <c r="B58" i="26"/>
  <c r="C57" i="26"/>
  <c r="B57" i="26"/>
  <c r="C56" i="26"/>
  <c r="B56" i="26"/>
  <c r="C55" i="26"/>
  <c r="B55" i="26"/>
  <c r="C49" i="26"/>
  <c r="B49" i="26"/>
  <c r="C45" i="26"/>
  <c r="B45" i="26"/>
  <c r="C44" i="26"/>
  <c r="B44" i="26"/>
  <c r="C43" i="26"/>
  <c r="B43" i="26"/>
  <c r="C42" i="26"/>
  <c r="B42" i="26"/>
  <c r="C41" i="26"/>
  <c r="B41" i="26"/>
  <c r="C40" i="26"/>
  <c r="B40" i="26"/>
  <c r="C39" i="26"/>
  <c r="B39" i="26"/>
  <c r="C38" i="26"/>
  <c r="B38" i="26"/>
  <c r="C37" i="26"/>
  <c r="B37" i="26"/>
  <c r="C33" i="26"/>
  <c r="B33" i="26"/>
  <c r="C32" i="26"/>
  <c r="B32" i="26"/>
  <c r="C31" i="26"/>
  <c r="B31" i="26"/>
  <c r="C30" i="26"/>
  <c r="B30" i="26"/>
  <c r="C29" i="26"/>
  <c r="B29" i="26"/>
  <c r="C28" i="26"/>
  <c r="B28" i="26"/>
  <c r="C27" i="26"/>
  <c r="B27" i="26"/>
  <c r="C26" i="26"/>
  <c r="B26" i="26"/>
  <c r="C22" i="26"/>
  <c r="B22" i="26"/>
  <c r="C20" i="26"/>
  <c r="B20" i="26"/>
  <c r="C19" i="26"/>
  <c r="B19" i="26"/>
  <c r="C18" i="26"/>
  <c r="B18" i="26"/>
  <c r="C17" i="26"/>
  <c r="B17" i="26"/>
  <c r="C16" i="26"/>
  <c r="B16" i="26"/>
  <c r="C15" i="26"/>
  <c r="B15" i="26"/>
  <c r="C12" i="26"/>
  <c r="B12" i="26"/>
  <c r="A1" i="26"/>
  <c r="O17" i="26"/>
  <c r="O17" i="27"/>
  <c r="O17" i="28"/>
  <c r="O17" i="29"/>
  <c r="P17" i="26"/>
  <c r="P17" i="27"/>
  <c r="P17" i="28"/>
  <c r="P17" i="29"/>
  <c r="E70" i="8"/>
  <c r="F70" i="8"/>
  <c r="F106" i="9"/>
  <c r="H151" i="20"/>
  <c r="G70" i="8"/>
  <c r="L97" i="10"/>
  <c r="L97" i="11"/>
  <c r="L97" i="12"/>
  <c r="J97" i="10"/>
  <c r="J97" i="11"/>
  <c r="J97" i="12"/>
  <c r="I97" i="10"/>
  <c r="I97" i="11"/>
  <c r="I97" i="12"/>
  <c r="F97" i="10"/>
  <c r="F97" i="11"/>
  <c r="E97" i="10"/>
  <c r="E97" i="11"/>
  <c r="D97" i="10"/>
  <c r="D97" i="11"/>
  <c r="D97" i="12"/>
  <c r="C97" i="10"/>
  <c r="C97" i="11"/>
  <c r="C97" i="12"/>
  <c r="B97" i="10"/>
  <c r="S2" i="11"/>
  <c r="M17" i="26"/>
  <c r="M17" i="27"/>
  <c r="M17" i="28"/>
  <c r="M17" i="29"/>
  <c r="R10" i="17"/>
  <c r="R10" i="26"/>
  <c r="R10" i="27"/>
  <c r="R10" i="28"/>
  <c r="R10" i="29"/>
  <c r="Q10" i="17"/>
  <c r="Q10" i="26"/>
  <c r="Q10" i="27"/>
  <c r="Q10" i="28"/>
  <c r="Q10" i="29"/>
  <c r="P10" i="17"/>
  <c r="P10" i="26"/>
  <c r="P10" i="27"/>
  <c r="P10" i="28"/>
  <c r="P10" i="29"/>
  <c r="O10" i="17"/>
  <c r="O10" i="26"/>
  <c r="O10" i="27"/>
  <c r="O10" i="28"/>
  <c r="O10" i="29"/>
  <c r="N10" i="17"/>
  <c r="M10" i="17"/>
  <c r="M10" i="26"/>
  <c r="L10" i="17"/>
  <c r="L10" i="26"/>
  <c r="L10" i="27"/>
  <c r="A3" i="16"/>
  <c r="A3" i="9"/>
  <c r="A3" i="23"/>
  <c r="A3" i="8"/>
  <c r="A3" i="15"/>
  <c r="C11" i="23"/>
  <c r="C32" i="23"/>
  <c r="E162" i="18"/>
  <c r="D162" i="18"/>
  <c r="O161" i="18"/>
  <c r="O163" i="18"/>
  <c r="N161" i="18"/>
  <c r="M161" i="18"/>
  <c r="L161" i="18"/>
  <c r="K161" i="18"/>
  <c r="J161" i="18"/>
  <c r="I161" i="18"/>
  <c r="H161" i="18"/>
  <c r="G161" i="18"/>
  <c r="G163" i="18"/>
  <c r="O160" i="18"/>
  <c r="N160" i="18"/>
  <c r="M160" i="18"/>
  <c r="L160" i="18"/>
  <c r="L163" i="18"/>
  <c r="K160" i="18"/>
  <c r="J160" i="18"/>
  <c r="I160" i="18"/>
  <c r="H160" i="18"/>
  <c r="H163" i="18"/>
  <c r="G160" i="18"/>
  <c r="C162" i="18"/>
  <c r="C161" i="18"/>
  <c r="C160" i="18"/>
  <c r="C159" i="18"/>
  <c r="O162" i="18"/>
  <c r="N161" i="26"/>
  <c r="N161" i="27"/>
  <c r="N161" i="28"/>
  <c r="N161" i="29"/>
  <c r="M162" i="18"/>
  <c r="L161" i="26"/>
  <c r="L161" i="27"/>
  <c r="L161" i="28"/>
  <c r="L161" i="29"/>
  <c r="K162" i="18"/>
  <c r="J161" i="26"/>
  <c r="J161" i="27"/>
  <c r="J161" i="28"/>
  <c r="J161" i="29"/>
  <c r="I162" i="18"/>
  <c r="H161" i="26"/>
  <c r="H161" i="27"/>
  <c r="H161" i="28"/>
  <c r="H161" i="29"/>
  <c r="G162" i="18"/>
  <c r="F161" i="26"/>
  <c r="F161" i="27"/>
  <c r="F161" i="28"/>
  <c r="F161" i="29"/>
  <c r="S160" i="17"/>
  <c r="S159" i="17"/>
  <c r="S158" i="17"/>
  <c r="A34" i="23"/>
  <c r="A27" i="23"/>
  <c r="A20" i="23"/>
  <c r="A13" i="23"/>
  <c r="A6" i="23"/>
  <c r="A1" i="23"/>
  <c r="A3" i="22"/>
  <c r="A3" i="29"/>
  <c r="C87" i="22"/>
  <c r="B87" i="22"/>
  <c r="C86" i="22"/>
  <c r="B86" i="22"/>
  <c r="C85" i="22"/>
  <c r="B85" i="22"/>
  <c r="C84" i="22"/>
  <c r="B84" i="22"/>
  <c r="C83" i="22"/>
  <c r="B83" i="22"/>
  <c r="C82" i="22"/>
  <c r="B82" i="22"/>
  <c r="C81" i="22"/>
  <c r="B81" i="22"/>
  <c r="C80" i="22"/>
  <c r="B80" i="22"/>
  <c r="C79" i="22"/>
  <c r="B79" i="22"/>
  <c r="C75" i="22"/>
  <c r="B75" i="22"/>
  <c r="C74" i="22"/>
  <c r="B74" i="22"/>
  <c r="C73" i="22"/>
  <c r="B73" i="22"/>
  <c r="C72" i="22"/>
  <c r="B72" i="22"/>
  <c r="C71" i="22"/>
  <c r="B71" i="22"/>
  <c r="C70" i="22"/>
  <c r="B70" i="22"/>
  <c r="C69" i="22"/>
  <c r="B69" i="22"/>
  <c r="C68" i="22"/>
  <c r="B68" i="22"/>
  <c r="C67" i="22"/>
  <c r="B67" i="22"/>
  <c r="C66" i="22"/>
  <c r="B66" i="22"/>
  <c r="C62" i="22"/>
  <c r="B62" i="22"/>
  <c r="C61" i="22"/>
  <c r="B61" i="22"/>
  <c r="C60" i="22"/>
  <c r="B60" i="22"/>
  <c r="C59" i="22"/>
  <c r="B59" i="22"/>
  <c r="C58" i="22"/>
  <c r="B58" i="22"/>
  <c r="C57" i="22"/>
  <c r="B57" i="22"/>
  <c r="C56" i="22"/>
  <c r="B56" i="22"/>
  <c r="C55" i="22"/>
  <c r="B55" i="22"/>
  <c r="C45" i="22"/>
  <c r="B45" i="22"/>
  <c r="C44" i="22"/>
  <c r="B44" i="22"/>
  <c r="C43" i="22"/>
  <c r="B43" i="22"/>
  <c r="C42" i="22"/>
  <c r="B42" i="22"/>
  <c r="C41" i="22"/>
  <c r="B41" i="22"/>
  <c r="C40" i="22"/>
  <c r="B40" i="22"/>
  <c r="C39" i="22"/>
  <c r="B39" i="22"/>
  <c r="C38" i="22"/>
  <c r="B38" i="22"/>
  <c r="C37" i="22"/>
  <c r="B37" i="22"/>
  <c r="C33" i="22"/>
  <c r="B33" i="22"/>
  <c r="C32" i="22"/>
  <c r="B32" i="22"/>
  <c r="C31" i="22"/>
  <c r="B31" i="22"/>
  <c r="C30" i="22"/>
  <c r="B30" i="22"/>
  <c r="C29" i="22"/>
  <c r="B29" i="22"/>
  <c r="C28" i="22"/>
  <c r="B28" i="22"/>
  <c r="C27" i="22"/>
  <c r="B27" i="22"/>
  <c r="C26" i="22"/>
  <c r="B26" i="22"/>
  <c r="C22" i="22"/>
  <c r="B22" i="22"/>
  <c r="C20" i="22"/>
  <c r="B20" i="22"/>
  <c r="C19" i="22"/>
  <c r="B19" i="22"/>
  <c r="C18" i="22"/>
  <c r="B18" i="22"/>
  <c r="C17" i="22"/>
  <c r="B17" i="22"/>
  <c r="C16" i="22"/>
  <c r="B16" i="22"/>
  <c r="C15" i="22"/>
  <c r="B15" i="22"/>
  <c r="C12" i="22"/>
  <c r="B12" i="22"/>
  <c r="A1" i="22"/>
  <c r="A3" i="21"/>
  <c r="A3" i="28"/>
  <c r="C87" i="21"/>
  <c r="B87" i="21"/>
  <c r="C86" i="21"/>
  <c r="B86" i="21"/>
  <c r="C85" i="21"/>
  <c r="B85" i="21"/>
  <c r="C84" i="21"/>
  <c r="B84" i="21"/>
  <c r="C83" i="21"/>
  <c r="B83" i="21"/>
  <c r="C82" i="21"/>
  <c r="B82" i="21"/>
  <c r="C81" i="21"/>
  <c r="B81" i="21"/>
  <c r="C80" i="21"/>
  <c r="B80" i="21"/>
  <c r="C79" i="21"/>
  <c r="B79" i="21"/>
  <c r="C75" i="21"/>
  <c r="B75" i="21"/>
  <c r="C74" i="21"/>
  <c r="B74" i="21"/>
  <c r="C73" i="21"/>
  <c r="B73" i="21"/>
  <c r="C72" i="21"/>
  <c r="B72" i="21"/>
  <c r="C71" i="21"/>
  <c r="B71" i="21"/>
  <c r="C70" i="21"/>
  <c r="B70" i="21"/>
  <c r="C69" i="21"/>
  <c r="B69" i="21"/>
  <c r="C68" i="21"/>
  <c r="B68" i="21"/>
  <c r="C67" i="21"/>
  <c r="B67" i="21"/>
  <c r="C66" i="21"/>
  <c r="B66" i="21"/>
  <c r="C62" i="21"/>
  <c r="B62" i="21"/>
  <c r="C61" i="21"/>
  <c r="B61" i="21"/>
  <c r="C60" i="21"/>
  <c r="B60" i="21"/>
  <c r="C59" i="21"/>
  <c r="B59" i="21"/>
  <c r="C58" i="21"/>
  <c r="B58" i="21"/>
  <c r="C57" i="21"/>
  <c r="B57" i="21"/>
  <c r="C56" i="21"/>
  <c r="B56" i="21"/>
  <c r="C55" i="21"/>
  <c r="B55" i="21"/>
  <c r="C45" i="21"/>
  <c r="B45" i="21"/>
  <c r="C44" i="21"/>
  <c r="B44" i="21"/>
  <c r="C43" i="21"/>
  <c r="B43" i="21"/>
  <c r="C42" i="21"/>
  <c r="B42" i="21"/>
  <c r="C41" i="21"/>
  <c r="B41" i="21"/>
  <c r="C40" i="21"/>
  <c r="B40" i="21"/>
  <c r="C39" i="21"/>
  <c r="B39" i="21"/>
  <c r="C38" i="21"/>
  <c r="B38" i="21"/>
  <c r="C37" i="21"/>
  <c r="B37" i="21"/>
  <c r="C33" i="21"/>
  <c r="B33" i="21"/>
  <c r="C32" i="21"/>
  <c r="B32" i="21"/>
  <c r="C31" i="21"/>
  <c r="B31" i="21"/>
  <c r="C30" i="21"/>
  <c r="B30" i="21"/>
  <c r="C29" i="21"/>
  <c r="B29" i="21"/>
  <c r="C28" i="21"/>
  <c r="B28" i="21"/>
  <c r="C27" i="21"/>
  <c r="B27" i="21"/>
  <c r="C26" i="21"/>
  <c r="B26" i="21"/>
  <c r="C22" i="21"/>
  <c r="B22" i="21"/>
  <c r="C20" i="21"/>
  <c r="B20" i="21"/>
  <c r="C19" i="21"/>
  <c r="B19" i="21"/>
  <c r="C18" i="21"/>
  <c r="B18" i="21"/>
  <c r="C17" i="21"/>
  <c r="B17" i="21"/>
  <c r="C16" i="21"/>
  <c r="B16" i="21"/>
  <c r="C15" i="21"/>
  <c r="B15" i="21"/>
  <c r="C12" i="21"/>
  <c r="B12" i="21"/>
  <c r="A1" i="21"/>
  <c r="A3" i="20"/>
  <c r="A3" i="27"/>
  <c r="C87" i="20"/>
  <c r="B87" i="20"/>
  <c r="C86" i="20"/>
  <c r="B86" i="20"/>
  <c r="C85" i="20"/>
  <c r="B85" i="20"/>
  <c r="C84" i="20"/>
  <c r="B84" i="20"/>
  <c r="C83" i="20"/>
  <c r="B83" i="20"/>
  <c r="C82" i="20"/>
  <c r="B82" i="20"/>
  <c r="C81" i="20"/>
  <c r="B81" i="20"/>
  <c r="C80" i="20"/>
  <c r="B80" i="20"/>
  <c r="C79" i="20"/>
  <c r="B79" i="20"/>
  <c r="C75" i="20"/>
  <c r="B75" i="20"/>
  <c r="C74" i="20"/>
  <c r="B74" i="20"/>
  <c r="C73" i="20"/>
  <c r="B73" i="20"/>
  <c r="C72" i="20"/>
  <c r="B72" i="20"/>
  <c r="C71" i="20"/>
  <c r="B71" i="20"/>
  <c r="C70" i="20"/>
  <c r="B70" i="20"/>
  <c r="C69" i="20"/>
  <c r="B69" i="20"/>
  <c r="C68" i="20"/>
  <c r="B68" i="20"/>
  <c r="C67" i="20"/>
  <c r="B67" i="20"/>
  <c r="C66" i="20"/>
  <c r="B66" i="20"/>
  <c r="C62" i="20"/>
  <c r="B62" i="20"/>
  <c r="C61" i="20"/>
  <c r="B61" i="20"/>
  <c r="C60" i="20"/>
  <c r="B60" i="20"/>
  <c r="C59" i="20"/>
  <c r="B59" i="20"/>
  <c r="C58" i="20"/>
  <c r="B58" i="20"/>
  <c r="C57" i="20"/>
  <c r="B57" i="20"/>
  <c r="C56" i="20"/>
  <c r="B56" i="20"/>
  <c r="C55" i="20"/>
  <c r="B55" i="20"/>
  <c r="C45" i="20"/>
  <c r="B45" i="20"/>
  <c r="C44" i="20"/>
  <c r="B44" i="20"/>
  <c r="C43" i="20"/>
  <c r="B43" i="20"/>
  <c r="C42" i="20"/>
  <c r="B42" i="20"/>
  <c r="C41" i="20"/>
  <c r="B41" i="20"/>
  <c r="C40" i="20"/>
  <c r="B40" i="20"/>
  <c r="C39" i="20"/>
  <c r="B39" i="20"/>
  <c r="C38" i="20"/>
  <c r="B38" i="20"/>
  <c r="C37" i="20"/>
  <c r="B37" i="20"/>
  <c r="C33" i="20"/>
  <c r="B33" i="20"/>
  <c r="C32" i="20"/>
  <c r="B32" i="20"/>
  <c r="C31" i="20"/>
  <c r="B31" i="20"/>
  <c r="C30" i="20"/>
  <c r="B30" i="20"/>
  <c r="C29" i="20"/>
  <c r="B29" i="20"/>
  <c r="C28" i="20"/>
  <c r="B28" i="20"/>
  <c r="C27" i="20"/>
  <c r="B27" i="20"/>
  <c r="C26" i="20"/>
  <c r="B26" i="20"/>
  <c r="C22" i="20"/>
  <c r="B22" i="20"/>
  <c r="C20" i="20"/>
  <c r="B20" i="20"/>
  <c r="C19" i="20"/>
  <c r="B19" i="20"/>
  <c r="C18" i="20"/>
  <c r="B18" i="20"/>
  <c r="C17" i="20"/>
  <c r="B17" i="20"/>
  <c r="C16" i="20"/>
  <c r="B16" i="20"/>
  <c r="C15" i="20"/>
  <c r="B15" i="20"/>
  <c r="C12" i="20"/>
  <c r="B12" i="20"/>
  <c r="A1" i="20"/>
  <c r="A3" i="19"/>
  <c r="A3" i="26"/>
  <c r="C87" i="19"/>
  <c r="B87" i="19"/>
  <c r="C86" i="19"/>
  <c r="B86" i="19"/>
  <c r="C85" i="19"/>
  <c r="B85" i="19"/>
  <c r="C84" i="19"/>
  <c r="B84" i="19"/>
  <c r="C83" i="19"/>
  <c r="B83" i="19"/>
  <c r="C82" i="19"/>
  <c r="B82" i="19"/>
  <c r="C81" i="19"/>
  <c r="B81" i="19"/>
  <c r="C80" i="19"/>
  <c r="B80" i="19"/>
  <c r="C79" i="19"/>
  <c r="B79" i="19"/>
  <c r="C75" i="19"/>
  <c r="B75" i="19"/>
  <c r="C74" i="19"/>
  <c r="B74" i="19"/>
  <c r="C73" i="19"/>
  <c r="B73" i="19"/>
  <c r="C72" i="19"/>
  <c r="B72" i="19"/>
  <c r="C71" i="19"/>
  <c r="B71" i="19"/>
  <c r="C70" i="19"/>
  <c r="B70" i="19"/>
  <c r="C69" i="19"/>
  <c r="B69" i="19"/>
  <c r="C68" i="19"/>
  <c r="B68" i="19"/>
  <c r="C67" i="19"/>
  <c r="B67" i="19"/>
  <c r="C66" i="19"/>
  <c r="B66" i="19"/>
  <c r="C62" i="19"/>
  <c r="B62" i="19"/>
  <c r="C61" i="19"/>
  <c r="B61" i="19"/>
  <c r="C60" i="19"/>
  <c r="B60" i="19"/>
  <c r="C59" i="19"/>
  <c r="B59" i="19"/>
  <c r="C58" i="19"/>
  <c r="B58" i="19"/>
  <c r="C57" i="19"/>
  <c r="B57" i="19"/>
  <c r="C56" i="19"/>
  <c r="B56" i="19"/>
  <c r="C55" i="19"/>
  <c r="B55" i="19"/>
  <c r="C45" i="19"/>
  <c r="B45" i="19"/>
  <c r="C44" i="19"/>
  <c r="B44" i="19"/>
  <c r="C43" i="19"/>
  <c r="B43" i="19"/>
  <c r="C42" i="19"/>
  <c r="B42" i="19"/>
  <c r="C41" i="19"/>
  <c r="B41" i="19"/>
  <c r="C40" i="19"/>
  <c r="B40" i="19"/>
  <c r="C39" i="19"/>
  <c r="B39" i="19"/>
  <c r="C38" i="19"/>
  <c r="B38" i="19"/>
  <c r="C37" i="19"/>
  <c r="B37" i="19"/>
  <c r="C33" i="19"/>
  <c r="B33" i="19"/>
  <c r="C32" i="19"/>
  <c r="B32" i="19"/>
  <c r="C31" i="19"/>
  <c r="B31" i="19"/>
  <c r="C30" i="19"/>
  <c r="B30" i="19"/>
  <c r="C29" i="19"/>
  <c r="B29" i="19"/>
  <c r="C28" i="19"/>
  <c r="B28" i="19"/>
  <c r="C27" i="19"/>
  <c r="B27" i="19"/>
  <c r="C26" i="19"/>
  <c r="B26" i="19"/>
  <c r="C22" i="19"/>
  <c r="B22" i="19"/>
  <c r="C20" i="19"/>
  <c r="B20" i="19"/>
  <c r="C19" i="19"/>
  <c r="B19" i="19"/>
  <c r="C18" i="19"/>
  <c r="B18" i="19"/>
  <c r="C17" i="19"/>
  <c r="B17" i="19"/>
  <c r="C16" i="19"/>
  <c r="B16" i="19"/>
  <c r="C15" i="19"/>
  <c r="B15" i="19"/>
  <c r="C12" i="19"/>
  <c r="B12" i="19"/>
  <c r="A1" i="19"/>
  <c r="C87" i="17"/>
  <c r="B87" i="17"/>
  <c r="C86" i="17"/>
  <c r="B86" i="17"/>
  <c r="C85" i="17"/>
  <c r="B85" i="17"/>
  <c r="C84" i="17"/>
  <c r="B84" i="17"/>
  <c r="C83" i="17"/>
  <c r="B83" i="17"/>
  <c r="C82" i="17"/>
  <c r="B82" i="17"/>
  <c r="C81" i="17"/>
  <c r="B81" i="17"/>
  <c r="C80" i="17"/>
  <c r="B80" i="17"/>
  <c r="C79" i="17"/>
  <c r="B79" i="17"/>
  <c r="C75" i="17"/>
  <c r="B75" i="17"/>
  <c r="C74" i="17"/>
  <c r="B74" i="17"/>
  <c r="C73" i="17"/>
  <c r="B73" i="17"/>
  <c r="C72" i="17"/>
  <c r="B72" i="17"/>
  <c r="C71" i="17"/>
  <c r="B71" i="17"/>
  <c r="C70" i="17"/>
  <c r="B70" i="17"/>
  <c r="C69" i="17"/>
  <c r="B69" i="17"/>
  <c r="C68" i="17"/>
  <c r="B68" i="17"/>
  <c r="C67" i="17"/>
  <c r="B67" i="17"/>
  <c r="C66" i="17"/>
  <c r="B66" i="17"/>
  <c r="C62" i="17"/>
  <c r="B62" i="17"/>
  <c r="C61" i="17"/>
  <c r="B61" i="17"/>
  <c r="C60" i="17"/>
  <c r="B60" i="17"/>
  <c r="C59" i="17"/>
  <c r="B59" i="17"/>
  <c r="C58" i="17"/>
  <c r="B58" i="17"/>
  <c r="C57" i="17"/>
  <c r="B57" i="17"/>
  <c r="C56" i="17"/>
  <c r="B56" i="17"/>
  <c r="B55" i="17"/>
  <c r="C55" i="17"/>
  <c r="B154" i="26"/>
  <c r="B132" i="22"/>
  <c r="B131" i="20"/>
  <c r="C130" i="17"/>
  <c r="B130" i="26"/>
  <c r="C129" i="17"/>
  <c r="B129" i="26"/>
  <c r="C128" i="17"/>
  <c r="B128" i="19"/>
  <c r="C127" i="17"/>
  <c r="C126" i="19"/>
  <c r="B126" i="26"/>
  <c r="C125" i="17"/>
  <c r="B125" i="26"/>
  <c r="C124" i="17"/>
  <c r="B124" i="19"/>
  <c r="C123" i="17"/>
  <c r="C122" i="19"/>
  <c r="B122" i="26"/>
  <c r="C121" i="17"/>
  <c r="C120" i="17"/>
  <c r="B118" i="26"/>
  <c r="C117" i="17"/>
  <c r="C116" i="22"/>
  <c r="B116" i="19"/>
  <c r="C115" i="17"/>
  <c r="B115" i="20"/>
  <c r="C114" i="22"/>
  <c r="B114" i="26"/>
  <c r="B113" i="26"/>
  <c r="C112" i="21"/>
  <c r="B112" i="19"/>
  <c r="B92" i="26"/>
  <c r="C49" i="17"/>
  <c r="B49" i="17"/>
  <c r="C45" i="17"/>
  <c r="B45" i="17"/>
  <c r="C44" i="17"/>
  <c r="B44" i="17"/>
  <c r="C43" i="17"/>
  <c r="B43" i="17"/>
  <c r="C42" i="17"/>
  <c r="B42" i="17"/>
  <c r="C41" i="17"/>
  <c r="B41" i="17"/>
  <c r="C40" i="17"/>
  <c r="B40" i="17"/>
  <c r="C39" i="17"/>
  <c r="B39" i="17"/>
  <c r="C38" i="17"/>
  <c r="B38" i="17"/>
  <c r="C37" i="17"/>
  <c r="B37" i="17"/>
  <c r="C33" i="17"/>
  <c r="B33" i="17"/>
  <c r="C32" i="17"/>
  <c r="B32" i="17"/>
  <c r="C31" i="17"/>
  <c r="B31" i="17"/>
  <c r="C30" i="17"/>
  <c r="B30" i="17"/>
  <c r="C29" i="17"/>
  <c r="B29" i="17"/>
  <c r="C28" i="17"/>
  <c r="B28" i="17"/>
  <c r="C27" i="17"/>
  <c r="B27" i="17"/>
  <c r="C26" i="17"/>
  <c r="B26" i="17"/>
  <c r="C22" i="17"/>
  <c r="B22" i="17"/>
  <c r="C20" i="17"/>
  <c r="B20" i="17"/>
  <c r="C19" i="17"/>
  <c r="B19" i="17"/>
  <c r="C18" i="17"/>
  <c r="B18" i="17"/>
  <c r="C17" i="17"/>
  <c r="B17" i="17"/>
  <c r="C16" i="17"/>
  <c r="B16" i="17"/>
  <c r="C15" i="17"/>
  <c r="B15" i="17"/>
  <c r="C12" i="17"/>
  <c r="B12" i="17"/>
  <c r="A3" i="18"/>
  <c r="A3" i="17"/>
  <c r="T157" i="17"/>
  <c r="A1" i="18"/>
  <c r="S132" i="17"/>
  <c r="S131" i="17"/>
  <c r="S95" i="17"/>
  <c r="S87" i="17"/>
  <c r="S86" i="17"/>
  <c r="S85" i="17"/>
  <c r="S84" i="17"/>
  <c r="S83" i="17"/>
  <c r="S82" i="17"/>
  <c r="S81" i="17"/>
  <c r="S80" i="17"/>
  <c r="S71" i="17"/>
  <c r="S70" i="17"/>
  <c r="S61" i="17"/>
  <c r="S59" i="17"/>
  <c r="R17" i="26"/>
  <c r="R17" i="27"/>
  <c r="R17" i="28"/>
  <c r="R17" i="29"/>
  <c r="F17" i="26"/>
  <c r="F17" i="27"/>
  <c r="F17" i="28"/>
  <c r="F17" i="29"/>
  <c r="Q17" i="26"/>
  <c r="Q17" i="27"/>
  <c r="Q17" i="28"/>
  <c r="Q17" i="29"/>
  <c r="N17" i="26"/>
  <c r="N17" i="27"/>
  <c r="N17" i="28"/>
  <c r="N17" i="29"/>
  <c r="K17" i="26"/>
  <c r="K17" i="27"/>
  <c r="K17" i="28"/>
  <c r="K17" i="29"/>
  <c r="H17" i="26"/>
  <c r="H17" i="27"/>
  <c r="H17" i="28"/>
  <c r="H17" i="29"/>
  <c r="G17" i="26"/>
  <c r="G17" i="27"/>
  <c r="G17" i="28"/>
  <c r="G17" i="29"/>
  <c r="E17" i="26"/>
  <c r="E17" i="27"/>
  <c r="E17" i="28"/>
  <c r="D17" i="26"/>
  <c r="F15" i="17"/>
  <c r="F15" i="26"/>
  <c r="F15" i="27"/>
  <c r="F15" i="28"/>
  <c r="F15" i="29"/>
  <c r="E15" i="17"/>
  <c r="E15" i="26"/>
  <c r="E15" i="27"/>
  <c r="E15" i="28"/>
  <c r="E15" i="29"/>
  <c r="D15" i="17"/>
  <c r="D15" i="26"/>
  <c r="D15" i="27"/>
  <c r="R22" i="26"/>
  <c r="R22" i="27"/>
  <c r="R22" i="28"/>
  <c r="R22" i="29"/>
  <c r="P22" i="26"/>
  <c r="P22" i="27"/>
  <c r="P22" i="28"/>
  <c r="P22" i="29"/>
  <c r="O22" i="26"/>
  <c r="O22" i="27"/>
  <c r="O22" i="28"/>
  <c r="O22" i="29"/>
  <c r="N22" i="26"/>
  <c r="N22" i="27"/>
  <c r="N22" i="28"/>
  <c r="N22" i="29"/>
  <c r="M22" i="26"/>
  <c r="M22" i="27"/>
  <c r="M22" i="28"/>
  <c r="M22" i="29"/>
  <c r="L22" i="26"/>
  <c r="L22" i="27"/>
  <c r="L22" i="28"/>
  <c r="L22" i="29"/>
  <c r="K22" i="26"/>
  <c r="K22" i="27"/>
  <c r="K22" i="28"/>
  <c r="K22" i="29"/>
  <c r="J22" i="26"/>
  <c r="J22" i="27"/>
  <c r="J22" i="28"/>
  <c r="J22" i="29"/>
  <c r="I22" i="26"/>
  <c r="I22" i="27"/>
  <c r="H22" i="26"/>
  <c r="H22" i="27"/>
  <c r="H22" i="28"/>
  <c r="H22" i="29"/>
  <c r="G22" i="26"/>
  <c r="G22" i="27"/>
  <c r="G22" i="28"/>
  <c r="F22" i="26"/>
  <c r="F22" i="27"/>
  <c r="F22" i="28"/>
  <c r="F22" i="29"/>
  <c r="E22" i="26"/>
  <c r="E22" i="27"/>
  <c r="E22" i="28"/>
  <c r="E22" i="29"/>
  <c r="D22" i="26"/>
  <c r="D22" i="27"/>
  <c r="D22" i="28"/>
  <c r="D22" i="29"/>
  <c r="P20" i="26"/>
  <c r="P20" i="27"/>
  <c r="P20" i="28"/>
  <c r="P20" i="29"/>
  <c r="N20" i="26"/>
  <c r="N20" i="27"/>
  <c r="N20" i="28"/>
  <c r="N20" i="29"/>
  <c r="M20" i="26"/>
  <c r="M20" i="27"/>
  <c r="M20" i="28"/>
  <c r="M20" i="29"/>
  <c r="L20" i="26"/>
  <c r="L20" i="27"/>
  <c r="L20" i="28"/>
  <c r="L20" i="29"/>
  <c r="K20" i="26"/>
  <c r="K20" i="27"/>
  <c r="K20" i="28"/>
  <c r="K20" i="29"/>
  <c r="J20" i="26"/>
  <c r="J20" i="27"/>
  <c r="J20" i="28"/>
  <c r="J20" i="29"/>
  <c r="I20" i="26"/>
  <c r="I20" i="27"/>
  <c r="I20" i="28"/>
  <c r="I20" i="29"/>
  <c r="H20" i="26"/>
  <c r="H20" i="27"/>
  <c r="H20" i="28"/>
  <c r="G20" i="26"/>
  <c r="G20" i="27"/>
  <c r="F20" i="26"/>
  <c r="F20" i="27"/>
  <c r="F20" i="28"/>
  <c r="F20" i="29"/>
  <c r="E20" i="26"/>
  <c r="E20" i="27"/>
  <c r="E20" i="28"/>
  <c r="E20" i="29"/>
  <c r="D20" i="26"/>
  <c r="D20" i="27"/>
  <c r="D20" i="28"/>
  <c r="D20" i="29"/>
  <c r="R16" i="17"/>
  <c r="Q16" i="17"/>
  <c r="Q16" i="26"/>
  <c r="Q16" i="27"/>
  <c r="Q16" i="28"/>
  <c r="Q16" i="29"/>
  <c r="P16" i="17"/>
  <c r="P16" i="26"/>
  <c r="P16" i="27"/>
  <c r="P16" i="28"/>
  <c r="P16" i="29"/>
  <c r="O16" i="17"/>
  <c r="O16" i="26"/>
  <c r="O16" i="27"/>
  <c r="O16" i="28"/>
  <c r="O16" i="29"/>
  <c r="N16" i="17"/>
  <c r="N16" i="26"/>
  <c r="N16" i="27"/>
  <c r="N16" i="28"/>
  <c r="N16" i="29"/>
  <c r="M16" i="17"/>
  <c r="M16" i="26"/>
  <c r="M16" i="27"/>
  <c r="M16" i="28"/>
  <c r="M16" i="29"/>
  <c r="L16" i="17"/>
  <c r="L16" i="26"/>
  <c r="L16" i="27"/>
  <c r="L16" i="28"/>
  <c r="L16" i="29"/>
  <c r="K16" i="17"/>
  <c r="K16" i="26"/>
  <c r="K16" i="27"/>
  <c r="K16" i="28"/>
  <c r="K16" i="29"/>
  <c r="J16" i="17"/>
  <c r="J16" i="26"/>
  <c r="J16" i="27"/>
  <c r="J16" i="28"/>
  <c r="J16" i="29"/>
  <c r="I16" i="17"/>
  <c r="I16" i="26"/>
  <c r="I16" i="27"/>
  <c r="I16" i="28"/>
  <c r="I16" i="29"/>
  <c r="H16" i="17"/>
  <c r="H16" i="26"/>
  <c r="H16" i="27"/>
  <c r="H16" i="28"/>
  <c r="H16" i="29"/>
  <c r="G16" i="17"/>
  <c r="G16" i="26"/>
  <c r="G16" i="27"/>
  <c r="G16" i="28"/>
  <c r="G16" i="29"/>
  <c r="F16" i="17"/>
  <c r="F16" i="26"/>
  <c r="F16" i="27"/>
  <c r="F16" i="28"/>
  <c r="F16" i="29"/>
  <c r="E16" i="17"/>
  <c r="E16" i="26"/>
  <c r="E16" i="27"/>
  <c r="E16" i="28"/>
  <c r="E16" i="29"/>
  <c r="D16" i="17"/>
  <c r="D16" i="26"/>
  <c r="S9" i="17"/>
  <c r="S154" i="17"/>
  <c r="S153" i="17"/>
  <c r="S152" i="17"/>
  <c r="S151" i="17"/>
  <c r="S147" i="17"/>
  <c r="S143" i="17"/>
  <c r="S142" i="17"/>
  <c r="S130" i="17"/>
  <c r="S129" i="17"/>
  <c r="S128" i="17"/>
  <c r="S127" i="17"/>
  <c r="S126" i="17"/>
  <c r="S125" i="17"/>
  <c r="S124" i="17"/>
  <c r="S123" i="17"/>
  <c r="S122" i="17"/>
  <c r="S121" i="17"/>
  <c r="S120" i="17"/>
  <c r="S119" i="17"/>
  <c r="S118" i="17"/>
  <c r="S117" i="17"/>
  <c r="S116" i="17"/>
  <c r="S115" i="17"/>
  <c r="S114" i="17"/>
  <c r="S113" i="17"/>
  <c r="S112" i="17"/>
  <c r="S111" i="17"/>
  <c r="S107" i="17"/>
  <c r="S96" i="17"/>
  <c r="S94" i="17"/>
  <c r="S93" i="17"/>
  <c r="S92" i="17"/>
  <c r="S91" i="17"/>
  <c r="S79" i="17"/>
  <c r="S75" i="17"/>
  <c r="S74" i="17"/>
  <c r="S73" i="17"/>
  <c r="S72" i="17"/>
  <c r="S69" i="17"/>
  <c r="S68" i="17"/>
  <c r="S67" i="17"/>
  <c r="S66" i="17"/>
  <c r="S62" i="17"/>
  <c r="S60" i="17"/>
  <c r="S58" i="17"/>
  <c r="S57" i="17"/>
  <c r="S56" i="17"/>
  <c r="S55" i="17"/>
  <c r="S49" i="17"/>
  <c r="S45" i="17"/>
  <c r="S44" i="17"/>
  <c r="S43" i="17"/>
  <c r="S42" i="17"/>
  <c r="S41" i="17"/>
  <c r="S40" i="17"/>
  <c r="S39" i="17"/>
  <c r="S38" i="17"/>
  <c r="S37" i="17"/>
  <c r="S33" i="17"/>
  <c r="S32" i="17"/>
  <c r="S31" i="17"/>
  <c r="S30" i="17"/>
  <c r="S29" i="17"/>
  <c r="S28" i="17"/>
  <c r="S27" i="17"/>
  <c r="S26" i="17"/>
  <c r="S19" i="17"/>
  <c r="S18" i="17"/>
  <c r="A1" i="17"/>
  <c r="L6" i="16"/>
  <c r="J6" i="16"/>
  <c r="H6" i="16"/>
  <c r="F6" i="16"/>
  <c r="D6" i="16"/>
  <c r="A1" i="16"/>
  <c r="H6" i="15"/>
  <c r="N6" i="15"/>
  <c r="G6" i="15"/>
  <c r="F6" i="15"/>
  <c r="L6" i="15"/>
  <c r="E6" i="15"/>
  <c r="D6" i="15"/>
  <c r="J6" i="15"/>
  <c r="A3" i="13"/>
  <c r="A3" i="12"/>
  <c r="A3" i="11"/>
  <c r="A3" i="10"/>
  <c r="H7" i="8"/>
  <c r="G7" i="8"/>
  <c r="F7" i="8"/>
  <c r="E7" i="8"/>
  <c r="H6" i="9"/>
  <c r="G6" i="9"/>
  <c r="F6" i="9"/>
  <c r="E6" i="9"/>
  <c r="D7" i="8"/>
  <c r="D6" i="9"/>
  <c r="A1" i="8"/>
  <c r="A1" i="9"/>
  <c r="A1" i="10"/>
  <c r="A1" i="11"/>
  <c r="A1" i="12"/>
  <c r="A1" i="13"/>
  <c r="A1" i="15"/>
  <c r="H71" i="14"/>
  <c r="G71" i="14"/>
  <c r="E71" i="14"/>
  <c r="D40" i="14"/>
  <c r="H40" i="14"/>
  <c r="F108" i="9"/>
  <c r="D153" i="27"/>
  <c r="E102" i="9"/>
  <c r="E52" i="9"/>
  <c r="D96" i="19"/>
  <c r="E50" i="9"/>
  <c r="K94" i="19"/>
  <c r="D67" i="8"/>
  <c r="D26" i="8"/>
  <c r="K274" i="4"/>
  <c r="J274" i="4"/>
  <c r="K273" i="4"/>
  <c r="J273" i="4"/>
  <c r="K272" i="4"/>
  <c r="J272" i="4"/>
  <c r="K271" i="4"/>
  <c r="J271" i="4"/>
  <c r="K270" i="4"/>
  <c r="J270" i="4"/>
  <c r="K269" i="4"/>
  <c r="J269" i="4"/>
  <c r="K268" i="4"/>
  <c r="J268" i="4"/>
  <c r="K267" i="4"/>
  <c r="J267" i="4"/>
  <c r="K266" i="4"/>
  <c r="J266" i="4"/>
  <c r="K265" i="4"/>
  <c r="J265" i="4"/>
  <c r="K264" i="4"/>
  <c r="J264" i="4"/>
  <c r="K263" i="4"/>
  <c r="J263" i="4"/>
  <c r="K262" i="4"/>
  <c r="J262" i="4"/>
  <c r="K261" i="4"/>
  <c r="J261" i="4"/>
  <c r="K260" i="4"/>
  <c r="J260" i="4"/>
  <c r="K259" i="4"/>
  <c r="J259" i="4"/>
  <c r="K258" i="4"/>
  <c r="J258" i="4"/>
  <c r="K257" i="4"/>
  <c r="J257" i="4"/>
  <c r="K256" i="4"/>
  <c r="J256" i="4"/>
  <c r="K255" i="4"/>
  <c r="J255" i="4"/>
  <c r="K254" i="4"/>
  <c r="J254" i="4"/>
  <c r="K253" i="4"/>
  <c r="J253" i="4"/>
  <c r="K252" i="4"/>
  <c r="J252" i="4"/>
  <c r="K251" i="4"/>
  <c r="J251" i="4"/>
  <c r="K250" i="4"/>
  <c r="J250" i="4"/>
  <c r="K249" i="4"/>
  <c r="J249" i="4"/>
  <c r="K248" i="4"/>
  <c r="J248" i="4"/>
  <c r="K247" i="4"/>
  <c r="J247" i="4"/>
  <c r="K246" i="4"/>
  <c r="J246" i="4"/>
  <c r="K245" i="4"/>
  <c r="J245" i="4"/>
  <c r="K244" i="4"/>
  <c r="J244" i="4"/>
  <c r="K243" i="4"/>
  <c r="J243" i="4"/>
  <c r="K242" i="4"/>
  <c r="J242" i="4"/>
  <c r="K241" i="4"/>
  <c r="J241" i="4"/>
  <c r="K240" i="4"/>
  <c r="J240" i="4"/>
  <c r="K239" i="4"/>
  <c r="J239" i="4"/>
  <c r="K238" i="4"/>
  <c r="J238" i="4"/>
  <c r="K237" i="4"/>
  <c r="J237" i="4"/>
  <c r="K236" i="4"/>
  <c r="J236" i="4"/>
  <c r="K235" i="4"/>
  <c r="J235" i="4"/>
  <c r="K234" i="4"/>
  <c r="J234" i="4"/>
  <c r="K233" i="4"/>
  <c r="J233" i="4"/>
  <c r="K232" i="4"/>
  <c r="J232" i="4"/>
  <c r="K231" i="4"/>
  <c r="J231" i="4"/>
  <c r="K230" i="4"/>
  <c r="J230" i="4"/>
  <c r="K229" i="4"/>
  <c r="J229" i="4"/>
  <c r="K228" i="4"/>
  <c r="J228" i="4"/>
  <c r="K227" i="4"/>
  <c r="J227" i="4"/>
  <c r="K226" i="4"/>
  <c r="J226" i="4"/>
  <c r="K225" i="4"/>
  <c r="J225" i="4"/>
  <c r="K224" i="4"/>
  <c r="J224" i="4"/>
  <c r="K223" i="4"/>
  <c r="J223" i="4"/>
  <c r="K222" i="4"/>
  <c r="J222" i="4"/>
  <c r="K221" i="4"/>
  <c r="J221" i="4"/>
  <c r="K220" i="4"/>
  <c r="J220" i="4"/>
  <c r="K219" i="4"/>
  <c r="J219" i="4"/>
  <c r="K218" i="4"/>
  <c r="J218" i="4"/>
  <c r="K217" i="4"/>
  <c r="J217" i="4"/>
  <c r="K216" i="4"/>
  <c r="J216" i="4"/>
  <c r="K215" i="4"/>
  <c r="J215" i="4"/>
  <c r="K214" i="4"/>
  <c r="J214" i="4"/>
  <c r="K213" i="4"/>
  <c r="J213" i="4"/>
  <c r="K212" i="4"/>
  <c r="J212" i="4"/>
  <c r="K211" i="4"/>
  <c r="J211" i="4"/>
  <c r="K210" i="4"/>
  <c r="J210" i="4"/>
  <c r="K209" i="4"/>
  <c r="J209" i="4"/>
  <c r="K208" i="4"/>
  <c r="J208" i="4"/>
  <c r="K207" i="4"/>
  <c r="J207" i="4"/>
  <c r="K206" i="4"/>
  <c r="J206" i="4"/>
  <c r="K205" i="4"/>
  <c r="J205" i="4"/>
  <c r="K204" i="4"/>
  <c r="J204" i="4"/>
  <c r="K203" i="4"/>
  <c r="J203" i="4"/>
  <c r="K202" i="4"/>
  <c r="J202" i="4"/>
  <c r="K201" i="4"/>
  <c r="J201" i="4"/>
  <c r="K200" i="4"/>
  <c r="J200" i="4"/>
  <c r="K199" i="4"/>
  <c r="J199" i="4"/>
  <c r="K198" i="4"/>
  <c r="J198" i="4"/>
  <c r="K197" i="4"/>
  <c r="J197" i="4"/>
  <c r="K196" i="4"/>
  <c r="J196" i="4"/>
  <c r="K195" i="4"/>
  <c r="J195" i="4"/>
  <c r="K194" i="4"/>
  <c r="J194" i="4"/>
  <c r="K193" i="4"/>
  <c r="J193" i="4"/>
  <c r="K192" i="4"/>
  <c r="J192" i="4"/>
  <c r="K191" i="4"/>
  <c r="J191" i="4"/>
  <c r="K190" i="4"/>
  <c r="J190" i="4"/>
  <c r="K189" i="4"/>
  <c r="J189" i="4"/>
  <c r="K188" i="4"/>
  <c r="J188" i="4"/>
  <c r="K187" i="4"/>
  <c r="J187" i="4"/>
  <c r="K186" i="4"/>
  <c r="J186" i="4"/>
  <c r="K185" i="4"/>
  <c r="J185" i="4"/>
  <c r="K184" i="4"/>
  <c r="J184" i="4"/>
  <c r="K183" i="4"/>
  <c r="J183" i="4"/>
  <c r="K182" i="4"/>
  <c r="J182" i="4"/>
  <c r="K181" i="4"/>
  <c r="J181" i="4"/>
  <c r="K180" i="4"/>
  <c r="J180" i="4"/>
  <c r="K179" i="4"/>
  <c r="J179" i="4"/>
  <c r="K178" i="4"/>
  <c r="J178" i="4"/>
  <c r="K177" i="4"/>
  <c r="J177" i="4"/>
  <c r="K176" i="4"/>
  <c r="J176" i="4"/>
  <c r="K175" i="4"/>
  <c r="J175" i="4"/>
  <c r="K174" i="4"/>
  <c r="J174" i="4"/>
  <c r="K173" i="4"/>
  <c r="J173" i="4"/>
  <c r="K172" i="4"/>
  <c r="J172" i="4"/>
  <c r="K171" i="4"/>
  <c r="J171" i="4"/>
  <c r="K170" i="4"/>
  <c r="J170" i="4"/>
  <c r="K169" i="4"/>
  <c r="J169" i="4"/>
  <c r="K168" i="4"/>
  <c r="J168" i="4"/>
  <c r="K167" i="4"/>
  <c r="J167" i="4"/>
  <c r="K166" i="4"/>
  <c r="J166" i="4"/>
  <c r="K165" i="4"/>
  <c r="J165" i="4"/>
  <c r="K164" i="4"/>
  <c r="J164" i="4"/>
  <c r="K163" i="4"/>
  <c r="J163" i="4"/>
  <c r="K162" i="4"/>
  <c r="J162" i="4"/>
  <c r="K161" i="4"/>
  <c r="J161" i="4"/>
  <c r="K160" i="4"/>
  <c r="J160" i="4"/>
  <c r="K159" i="4"/>
  <c r="J159" i="4"/>
  <c r="K158" i="4"/>
  <c r="J158" i="4"/>
  <c r="K157" i="4"/>
  <c r="J157" i="4"/>
  <c r="K156" i="4"/>
  <c r="J156" i="4"/>
  <c r="K155" i="4"/>
  <c r="J155" i="4"/>
  <c r="K154" i="4"/>
  <c r="J154" i="4"/>
  <c r="K153" i="4"/>
  <c r="J153" i="4"/>
  <c r="K152" i="4"/>
  <c r="J152" i="4"/>
  <c r="K151" i="4"/>
  <c r="J151" i="4"/>
  <c r="K150" i="4"/>
  <c r="J150" i="4"/>
  <c r="K149" i="4"/>
  <c r="J149" i="4"/>
  <c r="K148" i="4"/>
  <c r="J148" i="4"/>
  <c r="K147" i="4"/>
  <c r="J147" i="4"/>
  <c r="K146" i="4"/>
  <c r="J146" i="4"/>
  <c r="K145" i="4"/>
  <c r="J145" i="4"/>
  <c r="K144" i="4"/>
  <c r="J144" i="4"/>
  <c r="K143" i="4"/>
  <c r="J143" i="4"/>
  <c r="K142" i="4"/>
  <c r="J142" i="4"/>
  <c r="K141" i="4"/>
  <c r="J141" i="4"/>
  <c r="K140" i="4"/>
  <c r="J140" i="4"/>
  <c r="K139" i="4"/>
  <c r="J139" i="4"/>
  <c r="K138" i="4"/>
  <c r="J138" i="4"/>
  <c r="K137" i="4"/>
  <c r="J137" i="4"/>
  <c r="K136" i="4"/>
  <c r="J136" i="4"/>
  <c r="K135" i="4"/>
  <c r="J135" i="4"/>
  <c r="K134" i="4"/>
  <c r="J134" i="4"/>
  <c r="K133" i="4"/>
  <c r="J133" i="4"/>
  <c r="K132" i="4"/>
  <c r="J132" i="4"/>
  <c r="K131" i="4"/>
  <c r="J131" i="4"/>
  <c r="K130" i="4"/>
  <c r="J130" i="4"/>
  <c r="K129" i="4"/>
  <c r="J129" i="4"/>
  <c r="K128" i="4"/>
  <c r="J128" i="4"/>
  <c r="K127" i="4"/>
  <c r="J127" i="4"/>
  <c r="K126" i="4"/>
  <c r="J126" i="4"/>
  <c r="K125" i="4"/>
  <c r="J125" i="4"/>
  <c r="K124" i="4"/>
  <c r="J124" i="4"/>
  <c r="K123" i="4"/>
  <c r="J123" i="4"/>
  <c r="K122" i="4"/>
  <c r="J122" i="4"/>
  <c r="K121" i="4"/>
  <c r="J121" i="4"/>
  <c r="K120" i="4"/>
  <c r="J120" i="4"/>
  <c r="K119" i="4"/>
  <c r="J119" i="4"/>
  <c r="K118" i="4"/>
  <c r="J118" i="4"/>
  <c r="K117" i="4"/>
  <c r="J117" i="4"/>
  <c r="K116" i="4"/>
  <c r="J116" i="4"/>
  <c r="K115" i="4"/>
  <c r="J115" i="4"/>
  <c r="K114" i="4"/>
  <c r="J114" i="4"/>
  <c r="K113" i="4"/>
  <c r="J113" i="4"/>
  <c r="K112" i="4"/>
  <c r="J112" i="4"/>
  <c r="K111" i="4"/>
  <c r="J111" i="4"/>
  <c r="K110" i="4"/>
  <c r="J110" i="4"/>
  <c r="K109" i="4"/>
  <c r="J109" i="4"/>
  <c r="K108" i="4"/>
  <c r="J108" i="4"/>
  <c r="K107" i="4"/>
  <c r="J107" i="4"/>
  <c r="K106" i="4"/>
  <c r="J106" i="4"/>
  <c r="K105" i="4"/>
  <c r="J105" i="4"/>
  <c r="K104" i="4"/>
  <c r="J104" i="4"/>
  <c r="K103" i="4"/>
  <c r="J103" i="4"/>
  <c r="K102" i="4"/>
  <c r="J102" i="4"/>
  <c r="K101" i="4"/>
  <c r="J101" i="4"/>
  <c r="K100" i="4"/>
  <c r="J100" i="4"/>
  <c r="K99" i="4"/>
  <c r="J99" i="4"/>
  <c r="K98" i="4"/>
  <c r="J98" i="4"/>
  <c r="K97" i="4"/>
  <c r="J97" i="4"/>
  <c r="K96" i="4"/>
  <c r="J96" i="4"/>
  <c r="K95" i="4"/>
  <c r="J95" i="4"/>
  <c r="K94" i="4"/>
  <c r="J94" i="4"/>
  <c r="K93" i="4"/>
  <c r="J93" i="4"/>
  <c r="K92" i="4"/>
  <c r="J92" i="4"/>
  <c r="K91" i="4"/>
  <c r="J91" i="4"/>
  <c r="K90" i="4"/>
  <c r="J90" i="4"/>
  <c r="K89" i="4"/>
  <c r="J89" i="4"/>
  <c r="K88" i="4"/>
  <c r="J88" i="4"/>
  <c r="K87" i="4"/>
  <c r="J87" i="4"/>
  <c r="K86" i="4"/>
  <c r="J86" i="4"/>
  <c r="K85" i="4"/>
  <c r="J85" i="4"/>
  <c r="K84" i="4"/>
  <c r="J84" i="4"/>
  <c r="K83" i="4"/>
  <c r="J83" i="4"/>
  <c r="K82" i="4"/>
  <c r="J82" i="4"/>
  <c r="K81" i="4"/>
  <c r="J81" i="4"/>
  <c r="K80" i="4"/>
  <c r="J80" i="4"/>
  <c r="K79" i="4"/>
  <c r="J79" i="4"/>
  <c r="K78" i="4"/>
  <c r="J78" i="4"/>
  <c r="K77" i="4"/>
  <c r="J77" i="4"/>
  <c r="K76" i="4"/>
  <c r="J76" i="4"/>
  <c r="K75" i="4"/>
  <c r="J75" i="4"/>
  <c r="K74" i="4"/>
  <c r="J74" i="4"/>
  <c r="K73" i="4"/>
  <c r="J73" i="4"/>
  <c r="K72" i="4"/>
  <c r="J72" i="4"/>
  <c r="K71" i="4"/>
  <c r="J71" i="4"/>
  <c r="K70" i="4"/>
  <c r="J70" i="4"/>
  <c r="K69" i="4"/>
  <c r="J69" i="4"/>
  <c r="K68" i="4"/>
  <c r="J68" i="4"/>
  <c r="K67" i="4"/>
  <c r="J67" i="4"/>
  <c r="K66" i="4"/>
  <c r="J66" i="4"/>
  <c r="K65" i="4"/>
  <c r="J65" i="4"/>
  <c r="K64" i="4"/>
  <c r="J64" i="4"/>
  <c r="K63" i="4"/>
  <c r="J63" i="4"/>
  <c r="K62" i="4"/>
  <c r="J62" i="4"/>
  <c r="K61" i="4"/>
  <c r="J61" i="4"/>
  <c r="K60" i="4"/>
  <c r="J60" i="4"/>
  <c r="K59" i="4"/>
  <c r="J59" i="4"/>
  <c r="K58" i="4"/>
  <c r="J58" i="4"/>
  <c r="K57" i="4"/>
  <c r="J57" i="4"/>
  <c r="K56" i="4"/>
  <c r="J56" i="4"/>
  <c r="K55" i="4"/>
  <c r="J55" i="4"/>
  <c r="K54" i="4"/>
  <c r="J54" i="4"/>
  <c r="K53" i="4"/>
  <c r="J53" i="4"/>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K5" i="4"/>
  <c r="J5" i="4"/>
  <c r="K4" i="4"/>
  <c r="J4" i="4"/>
  <c r="K3" i="4"/>
  <c r="J3" i="4"/>
  <c r="B130" i="17"/>
  <c r="B128" i="21"/>
  <c r="B118" i="19"/>
  <c r="C117" i="22"/>
  <c r="C107" i="22"/>
  <c r="I163" i="18"/>
  <c r="M163" i="18"/>
  <c r="E40" i="14"/>
  <c r="B131" i="19"/>
  <c r="F40" i="14"/>
  <c r="K163" i="18"/>
  <c r="B126" i="22"/>
  <c r="E106" i="9"/>
  <c r="M151" i="19"/>
  <c r="G40" i="14"/>
  <c r="S136" i="28"/>
  <c r="T9" i="28"/>
  <c r="S40" i="22"/>
  <c r="R12" i="26"/>
  <c r="D33" i="27"/>
  <c r="D33" i="28"/>
  <c r="S33" i="28"/>
  <c r="S33" i="26"/>
  <c r="E147" i="27"/>
  <c r="E147" i="28"/>
  <c r="E147" i="29"/>
  <c r="S147" i="26"/>
  <c r="S85" i="26"/>
  <c r="S134" i="28"/>
  <c r="S48" i="27"/>
  <c r="E48" i="28"/>
  <c r="S46" i="27"/>
  <c r="E46" i="28"/>
  <c r="S47" i="28"/>
  <c r="E47" i="29"/>
  <c r="S47" i="29"/>
  <c r="R20" i="26"/>
  <c r="R20" i="27"/>
  <c r="R20" i="28"/>
  <c r="R20" i="29"/>
  <c r="Q20" i="26"/>
  <c r="Q20" i="27"/>
  <c r="Q20" i="28"/>
  <c r="Q20" i="29"/>
  <c r="O20" i="26"/>
  <c r="O20" i="27"/>
  <c r="O20" i="28"/>
  <c r="O20" i="29"/>
  <c r="L97" i="20"/>
  <c r="D97" i="20"/>
  <c r="O105" i="19"/>
  <c r="D97" i="19"/>
  <c r="S33" i="22"/>
  <c r="S40" i="20"/>
  <c r="K6" i="15"/>
  <c r="M6" i="15"/>
  <c r="S66" i="26"/>
  <c r="S132" i="26"/>
  <c r="S17" i="17"/>
  <c r="S19" i="26"/>
  <c r="S49" i="26"/>
  <c r="S74" i="26"/>
  <c r="S116" i="26"/>
  <c r="S29" i="26"/>
  <c r="S39" i="26"/>
  <c r="S59" i="26"/>
  <c r="S70" i="26"/>
  <c r="S82" i="26"/>
  <c r="S93" i="26"/>
  <c r="S124" i="26"/>
  <c r="S33" i="18"/>
  <c r="S33" i="21"/>
  <c r="S43" i="21"/>
  <c r="S33" i="20"/>
  <c r="S159" i="26"/>
  <c r="S31" i="26"/>
  <c r="S57" i="26"/>
  <c r="S61" i="26"/>
  <c r="S68" i="26"/>
  <c r="S79" i="26"/>
  <c r="S84" i="26"/>
  <c r="S91" i="26"/>
  <c r="S120" i="26"/>
  <c r="S20" i="17"/>
  <c r="C112" i="19"/>
  <c r="C116" i="19"/>
  <c r="C114" i="21"/>
  <c r="C120" i="19"/>
  <c r="C123" i="22"/>
  <c r="B128" i="17"/>
  <c r="B126" i="19"/>
  <c r="C112" i="17"/>
  <c r="C116" i="17"/>
  <c r="C124" i="19"/>
  <c r="C122" i="17"/>
  <c r="C131" i="17"/>
  <c r="G53" i="9"/>
  <c r="J97" i="21"/>
  <c r="B112" i="20"/>
  <c r="B114" i="19"/>
  <c r="B124" i="17"/>
  <c r="B124" i="21"/>
  <c r="B119" i="20"/>
  <c r="B122" i="19"/>
  <c r="B130" i="19"/>
  <c r="B132" i="21"/>
  <c r="C107" i="20"/>
  <c r="C115" i="20"/>
  <c r="C114" i="19"/>
  <c r="C115" i="22"/>
  <c r="C116" i="21"/>
  <c r="C114" i="17"/>
  <c r="C127" i="21"/>
  <c r="C123" i="20"/>
  <c r="C128" i="19"/>
  <c r="C126" i="17"/>
  <c r="C131" i="19"/>
  <c r="C123" i="21"/>
  <c r="C127" i="20"/>
  <c r="C127" i="22"/>
  <c r="C131" i="21"/>
  <c r="C132" i="20"/>
  <c r="B113" i="21"/>
  <c r="B112" i="17"/>
  <c r="B122" i="22"/>
  <c r="B126" i="17"/>
  <c r="B122" i="17"/>
  <c r="B126" i="21"/>
  <c r="B122" i="21"/>
  <c r="B129" i="20"/>
  <c r="B130" i="22"/>
  <c r="B130" i="21"/>
  <c r="B151" i="22"/>
  <c r="E67" i="8"/>
  <c r="D113" i="27"/>
  <c r="D113" i="28"/>
  <c r="D113" i="29"/>
  <c r="D115" i="27"/>
  <c r="D115" i="28"/>
  <c r="D115" i="29"/>
  <c r="D117" i="27"/>
  <c r="D117" i="28"/>
  <c r="D117" i="29"/>
  <c r="D121" i="27"/>
  <c r="D121" i="28"/>
  <c r="D123" i="27"/>
  <c r="D123" i="28"/>
  <c r="I161" i="26"/>
  <c r="I161" i="27"/>
  <c r="I161" i="28"/>
  <c r="I161" i="29"/>
  <c r="M161" i="26"/>
  <c r="M161" i="27"/>
  <c r="M161" i="28"/>
  <c r="M161" i="29"/>
  <c r="S38" i="18"/>
  <c r="G161" i="26"/>
  <c r="G161" i="27"/>
  <c r="G161" i="28"/>
  <c r="G161" i="29"/>
  <c r="K161" i="26"/>
  <c r="K161" i="27"/>
  <c r="K161" i="28"/>
  <c r="K161" i="29"/>
  <c r="O161" i="26"/>
  <c r="O161" i="27"/>
  <c r="O161" i="28"/>
  <c r="O161" i="29"/>
  <c r="D17" i="27"/>
  <c r="S17" i="26"/>
  <c r="E17" i="29"/>
  <c r="G12" i="26"/>
  <c r="K12" i="26"/>
  <c r="O12" i="26"/>
  <c r="Q12" i="26"/>
  <c r="D19" i="29"/>
  <c r="D31" i="29"/>
  <c r="S31" i="29"/>
  <c r="S31" i="28"/>
  <c r="S38" i="26"/>
  <c r="D38" i="27"/>
  <c r="S40" i="26"/>
  <c r="D40" i="27"/>
  <c r="S42" i="26"/>
  <c r="D42" i="27"/>
  <c r="S43" i="26"/>
  <c r="D43" i="27"/>
  <c r="S45" i="26"/>
  <c r="D45" i="27"/>
  <c r="D57" i="29"/>
  <c r="S57" i="29"/>
  <c r="S57" i="28"/>
  <c r="D59" i="29"/>
  <c r="S59" i="29"/>
  <c r="S59" i="28"/>
  <c r="D61" i="29"/>
  <c r="S61" i="29"/>
  <c r="S61" i="28"/>
  <c r="D66" i="29"/>
  <c r="S66" i="29"/>
  <c r="S66" i="28"/>
  <c r="D68" i="29"/>
  <c r="S68" i="29"/>
  <c r="S68" i="28"/>
  <c r="D70" i="29"/>
  <c r="S70" i="29"/>
  <c r="S70" i="28"/>
  <c r="D72" i="29"/>
  <c r="D74" i="29"/>
  <c r="S74" i="29"/>
  <c r="S74" i="28"/>
  <c r="D79" i="29"/>
  <c r="S79" i="29"/>
  <c r="S79" i="28"/>
  <c r="D82" i="29"/>
  <c r="S82" i="29"/>
  <c r="S82" i="28"/>
  <c r="D84" i="29"/>
  <c r="S84" i="29"/>
  <c r="S84" i="28"/>
  <c r="D85" i="29"/>
  <c r="S85" i="29"/>
  <c r="S85" i="28"/>
  <c r="D91" i="29"/>
  <c r="D93" i="29"/>
  <c r="S111" i="26"/>
  <c r="D111" i="27"/>
  <c r="S113" i="26"/>
  <c r="S115" i="26"/>
  <c r="S117" i="26"/>
  <c r="S119" i="26"/>
  <c r="D119" i="27"/>
  <c r="S121" i="26"/>
  <c r="S123" i="26"/>
  <c r="S125" i="26"/>
  <c r="D125" i="27"/>
  <c r="S127" i="26"/>
  <c r="D127" i="27"/>
  <c r="S129" i="26"/>
  <c r="D129" i="27"/>
  <c r="D131" i="27"/>
  <c r="D131" i="28"/>
  <c r="S142" i="26"/>
  <c r="D142" i="27"/>
  <c r="D147" i="28"/>
  <c r="S147" i="27"/>
  <c r="D152" i="28"/>
  <c r="S152" i="27"/>
  <c r="D158" i="28"/>
  <c r="D158" i="29"/>
  <c r="S158" i="27"/>
  <c r="F159" i="21"/>
  <c r="F158" i="29"/>
  <c r="F159" i="22"/>
  <c r="H159" i="21"/>
  <c r="H158" i="29"/>
  <c r="H159" i="22"/>
  <c r="J159" i="21"/>
  <c r="J158" i="29"/>
  <c r="J159" i="22"/>
  <c r="L159" i="21"/>
  <c r="L158" i="29"/>
  <c r="L159" i="22"/>
  <c r="N159" i="21"/>
  <c r="N158" i="29"/>
  <c r="N159" i="22"/>
  <c r="E160" i="19"/>
  <c r="E159" i="27"/>
  <c r="G160" i="19"/>
  <c r="G159" i="27"/>
  <c r="I160" i="19"/>
  <c r="I159" i="27"/>
  <c r="K160" i="19"/>
  <c r="K159" i="27"/>
  <c r="M160" i="19"/>
  <c r="M159" i="27"/>
  <c r="O160" i="19"/>
  <c r="O159" i="27"/>
  <c r="D160" i="27"/>
  <c r="F160" i="27"/>
  <c r="H160" i="27"/>
  <c r="J160" i="27"/>
  <c r="L160" i="27"/>
  <c r="N160" i="27"/>
  <c r="H162" i="18"/>
  <c r="L162" i="18"/>
  <c r="S28" i="27"/>
  <c r="S31" i="27"/>
  <c r="S33" i="27"/>
  <c r="S57" i="27"/>
  <c r="S59" i="27"/>
  <c r="S61" i="27"/>
  <c r="S66" i="27"/>
  <c r="S68" i="27"/>
  <c r="S70" i="27"/>
  <c r="S74" i="27"/>
  <c r="S79" i="27"/>
  <c r="S82" i="27"/>
  <c r="S84" i="27"/>
  <c r="S85" i="27"/>
  <c r="S95" i="27"/>
  <c r="S116" i="27"/>
  <c r="S120" i="27"/>
  <c r="S124" i="27"/>
  <c r="E12" i="26"/>
  <c r="I12" i="26"/>
  <c r="M12" i="26"/>
  <c r="S12" i="26"/>
  <c r="S29" i="27"/>
  <c r="D29" i="28"/>
  <c r="D33" i="29"/>
  <c r="S33" i="29"/>
  <c r="D12" i="26"/>
  <c r="F12" i="26"/>
  <c r="H12" i="26"/>
  <c r="J12" i="26"/>
  <c r="L12" i="26"/>
  <c r="N12" i="26"/>
  <c r="P12" i="26"/>
  <c r="D18" i="28"/>
  <c r="D26" i="29"/>
  <c r="S28" i="28"/>
  <c r="D28" i="29"/>
  <c r="S28" i="29"/>
  <c r="S30" i="28"/>
  <c r="D30" i="29"/>
  <c r="S30" i="29"/>
  <c r="D32" i="29"/>
  <c r="S37" i="28"/>
  <c r="D37" i="29"/>
  <c r="S37" i="29"/>
  <c r="S39" i="28"/>
  <c r="D39" i="29"/>
  <c r="S39" i="29"/>
  <c r="S41" i="28"/>
  <c r="D41" i="29"/>
  <c r="S41" i="29"/>
  <c r="D44" i="29"/>
  <c r="S49" i="28"/>
  <c r="S49" i="29"/>
  <c r="D56" i="29"/>
  <c r="S58" i="28"/>
  <c r="D58" i="29"/>
  <c r="S58" i="29"/>
  <c r="D60" i="29"/>
  <c r="S62" i="28"/>
  <c r="D62" i="29"/>
  <c r="S62" i="29"/>
  <c r="S67" i="28"/>
  <c r="D67" i="29"/>
  <c r="S67" i="29"/>
  <c r="S69" i="28"/>
  <c r="D69" i="29"/>
  <c r="S69" i="29"/>
  <c r="S71" i="28"/>
  <c r="D71" i="29"/>
  <c r="S71" i="29"/>
  <c r="S75" i="28"/>
  <c r="D75" i="29"/>
  <c r="S75" i="29"/>
  <c r="S80" i="28"/>
  <c r="D80" i="29"/>
  <c r="S80" i="29"/>
  <c r="S81" i="28"/>
  <c r="D81" i="29"/>
  <c r="S81" i="29"/>
  <c r="S83" i="28"/>
  <c r="D83" i="29"/>
  <c r="S83" i="29"/>
  <c r="S86" i="28"/>
  <c r="D86" i="29"/>
  <c r="S86" i="29"/>
  <c r="S87" i="28"/>
  <c r="D87" i="29"/>
  <c r="S87" i="29"/>
  <c r="D92" i="29"/>
  <c r="D94" i="29"/>
  <c r="S95" i="28"/>
  <c r="D95" i="29"/>
  <c r="S95" i="29"/>
  <c r="S96" i="28"/>
  <c r="D96" i="29"/>
  <c r="S96" i="29"/>
  <c r="D107" i="29"/>
  <c r="S114" i="28"/>
  <c r="D114" i="29"/>
  <c r="S114" i="29"/>
  <c r="S116" i="28"/>
  <c r="D116" i="29"/>
  <c r="S116" i="29"/>
  <c r="S118" i="28"/>
  <c r="D118" i="29"/>
  <c r="S118" i="29"/>
  <c r="S120" i="28"/>
  <c r="D120" i="29"/>
  <c r="S120" i="29"/>
  <c r="S122" i="28"/>
  <c r="D122" i="29"/>
  <c r="S122" i="29"/>
  <c r="S124" i="28"/>
  <c r="D124" i="29"/>
  <c r="S124" i="29"/>
  <c r="D132" i="28"/>
  <c r="S132" i="27"/>
  <c r="D143" i="28"/>
  <c r="S143" i="27"/>
  <c r="S151" i="26"/>
  <c r="D151" i="27"/>
  <c r="S153" i="26"/>
  <c r="S154" i="26"/>
  <c r="D154" i="27"/>
  <c r="E159" i="21"/>
  <c r="E158" i="29"/>
  <c r="E159" i="22"/>
  <c r="G159" i="21"/>
  <c r="G158" i="29"/>
  <c r="G159" i="22"/>
  <c r="I159" i="21"/>
  <c r="I158" i="29"/>
  <c r="I159" i="22"/>
  <c r="K159" i="21"/>
  <c r="K158" i="29"/>
  <c r="K159" i="22"/>
  <c r="M159" i="21"/>
  <c r="M158" i="29"/>
  <c r="M159" i="22"/>
  <c r="O159" i="21"/>
  <c r="O158" i="29"/>
  <c r="O159" i="22"/>
  <c r="D160" i="19"/>
  <c r="D159" i="27"/>
  <c r="F160" i="19"/>
  <c r="F159" i="27"/>
  <c r="H160" i="19"/>
  <c r="H159" i="27"/>
  <c r="J160" i="19"/>
  <c r="J159" i="27"/>
  <c r="L160" i="19"/>
  <c r="L159" i="27"/>
  <c r="N160" i="19"/>
  <c r="N159" i="27"/>
  <c r="E160" i="27"/>
  <c r="G160" i="27"/>
  <c r="I160" i="27"/>
  <c r="K160" i="27"/>
  <c r="M160" i="27"/>
  <c r="O160" i="27"/>
  <c r="D161" i="28"/>
  <c r="F162" i="18"/>
  <c r="F163" i="18"/>
  <c r="J162" i="18"/>
  <c r="J163" i="18"/>
  <c r="N162" i="18"/>
  <c r="N163" i="18"/>
  <c r="C25" i="23"/>
  <c r="S161" i="17"/>
  <c r="S18" i="26"/>
  <c r="S26" i="26"/>
  <c r="S28" i="26"/>
  <c r="S30" i="26"/>
  <c r="S32" i="26"/>
  <c r="S37" i="26"/>
  <c r="S41" i="26"/>
  <c r="S44" i="26"/>
  <c r="S58" i="26"/>
  <c r="S60" i="26"/>
  <c r="S62" i="26"/>
  <c r="S67" i="26"/>
  <c r="S69" i="26"/>
  <c r="S71" i="26"/>
  <c r="S73" i="26"/>
  <c r="S75" i="26"/>
  <c r="S80" i="26"/>
  <c r="S81" i="26"/>
  <c r="S83" i="26"/>
  <c r="S86" i="26"/>
  <c r="S87" i="26"/>
  <c r="S92" i="26"/>
  <c r="S95" i="26"/>
  <c r="S96" i="26"/>
  <c r="S107" i="26"/>
  <c r="S114" i="26"/>
  <c r="S118" i="26"/>
  <c r="S122" i="26"/>
  <c r="S143" i="26"/>
  <c r="S152" i="26"/>
  <c r="S158" i="26"/>
  <c r="S160" i="26"/>
  <c r="S31" i="19"/>
  <c r="S33" i="19"/>
  <c r="S45" i="19"/>
  <c r="S30" i="27"/>
  <c r="S37" i="27"/>
  <c r="S39" i="27"/>
  <c r="S41" i="27"/>
  <c r="S49" i="27"/>
  <c r="S58" i="27"/>
  <c r="S62" i="27"/>
  <c r="S67" i="27"/>
  <c r="S69" i="27"/>
  <c r="S71" i="27"/>
  <c r="S75" i="27"/>
  <c r="S80" i="27"/>
  <c r="S81" i="27"/>
  <c r="S83" i="27"/>
  <c r="S86" i="27"/>
  <c r="S87" i="27"/>
  <c r="S92" i="27"/>
  <c r="S96" i="27"/>
  <c r="S114" i="27"/>
  <c r="S118" i="27"/>
  <c r="S122" i="27"/>
  <c r="C96" i="19"/>
  <c r="C107" i="21"/>
  <c r="C117" i="20"/>
  <c r="C117" i="19"/>
  <c r="C115" i="19"/>
  <c r="C117" i="21"/>
  <c r="C115" i="21"/>
  <c r="C129" i="21"/>
  <c r="C125" i="21"/>
  <c r="C121" i="21"/>
  <c r="C129" i="20"/>
  <c r="C125" i="20"/>
  <c r="C121" i="20"/>
  <c r="C129" i="19"/>
  <c r="C127" i="19"/>
  <c r="C125" i="19"/>
  <c r="C123" i="19"/>
  <c r="C121" i="19"/>
  <c r="C129" i="22"/>
  <c r="C125" i="22"/>
  <c r="C121" i="22"/>
  <c r="C130" i="19"/>
  <c r="C131" i="22"/>
  <c r="C131" i="20"/>
  <c r="C132" i="22"/>
  <c r="S22" i="17"/>
  <c r="Q22" i="26"/>
  <c r="Q22" i="27"/>
  <c r="Q22" i="28"/>
  <c r="Q22" i="29"/>
  <c r="G22" i="29"/>
  <c r="G20" i="28"/>
  <c r="G20" i="29"/>
  <c r="K153" i="20"/>
  <c r="C91" i="28"/>
  <c r="C92" i="27"/>
  <c r="C107" i="29"/>
  <c r="C107" i="28"/>
  <c r="C111" i="27"/>
  <c r="C112" i="20"/>
  <c r="C112" i="29"/>
  <c r="C112" i="28"/>
  <c r="C112" i="27"/>
  <c r="C113" i="27"/>
  <c r="C114" i="20"/>
  <c r="C114" i="29"/>
  <c r="C114" i="28"/>
  <c r="C114" i="27"/>
  <c r="C115" i="28"/>
  <c r="C115" i="27"/>
  <c r="C115" i="29"/>
  <c r="C116" i="20"/>
  <c r="C116" i="29"/>
  <c r="C116" i="28"/>
  <c r="C116" i="27"/>
  <c r="C117" i="27"/>
  <c r="C117" i="29"/>
  <c r="C117" i="28"/>
  <c r="C119" i="29"/>
  <c r="C120" i="21"/>
  <c r="C120" i="29"/>
  <c r="C120" i="28"/>
  <c r="C120" i="27"/>
  <c r="C121" i="27"/>
  <c r="C121" i="29"/>
  <c r="C121" i="28"/>
  <c r="C122" i="21"/>
  <c r="C122" i="29"/>
  <c r="C122" i="28"/>
  <c r="C122" i="27"/>
  <c r="C123" i="28"/>
  <c r="C123" i="27"/>
  <c r="C123" i="29"/>
  <c r="C124" i="21"/>
  <c r="C124" i="29"/>
  <c r="C124" i="28"/>
  <c r="C124" i="27"/>
  <c r="C125" i="27"/>
  <c r="C125" i="29"/>
  <c r="C125" i="28"/>
  <c r="C126" i="21"/>
  <c r="C126" i="29"/>
  <c r="C126" i="28"/>
  <c r="C126" i="27"/>
  <c r="C127" i="28"/>
  <c r="C127" i="27"/>
  <c r="C127" i="29"/>
  <c r="C128" i="21"/>
  <c r="C128" i="29"/>
  <c r="C128" i="28"/>
  <c r="C128" i="27"/>
  <c r="C129" i="27"/>
  <c r="C129" i="29"/>
  <c r="C129" i="28"/>
  <c r="C130" i="21"/>
  <c r="C130" i="29"/>
  <c r="C130" i="28"/>
  <c r="C130" i="27"/>
  <c r="C131" i="28"/>
  <c r="C131" i="27"/>
  <c r="C131" i="29"/>
  <c r="C132" i="17"/>
  <c r="C132" i="29"/>
  <c r="C132" i="28"/>
  <c r="C132" i="27"/>
  <c r="C151" i="28"/>
  <c r="C152" i="29"/>
  <c r="C112" i="26"/>
  <c r="C115" i="26"/>
  <c r="C116" i="26"/>
  <c r="C120" i="26"/>
  <c r="C123" i="26"/>
  <c r="C124" i="26"/>
  <c r="C127" i="26"/>
  <c r="C128" i="26"/>
  <c r="C131" i="26"/>
  <c r="C132" i="26"/>
  <c r="C153" i="26"/>
  <c r="I153" i="19"/>
  <c r="B92" i="28"/>
  <c r="B93" i="21"/>
  <c r="B93" i="27"/>
  <c r="B94" i="28"/>
  <c r="B96" i="27"/>
  <c r="B107" i="28"/>
  <c r="B112" i="21"/>
  <c r="B112" i="28"/>
  <c r="B112" i="27"/>
  <c r="B112" i="29"/>
  <c r="B113" i="22"/>
  <c r="B113" i="29"/>
  <c r="B113" i="28"/>
  <c r="B113" i="27"/>
  <c r="B114" i="21"/>
  <c r="B114" i="27"/>
  <c r="B114" i="29"/>
  <c r="B114" i="28"/>
  <c r="B115" i="19"/>
  <c r="B115" i="29"/>
  <c r="B115" i="28"/>
  <c r="B115" i="27"/>
  <c r="B116" i="28"/>
  <c r="B116" i="27"/>
  <c r="B116" i="29"/>
  <c r="B118" i="21"/>
  <c r="B118" i="27"/>
  <c r="B118" i="29"/>
  <c r="B118" i="28"/>
  <c r="B119" i="22"/>
  <c r="B119" i="29"/>
  <c r="B119" i="28"/>
  <c r="B119" i="27"/>
  <c r="B120" i="28"/>
  <c r="B120" i="27"/>
  <c r="B120" i="29"/>
  <c r="B121" i="22"/>
  <c r="B121" i="29"/>
  <c r="B121" i="28"/>
  <c r="B121" i="27"/>
  <c r="B122" i="27"/>
  <c r="B122" i="29"/>
  <c r="B122" i="28"/>
  <c r="B123" i="22"/>
  <c r="B123" i="29"/>
  <c r="B123" i="28"/>
  <c r="B123" i="27"/>
  <c r="B124" i="28"/>
  <c r="B124" i="27"/>
  <c r="B124" i="29"/>
  <c r="B125" i="22"/>
  <c r="B125" i="29"/>
  <c r="B125" i="28"/>
  <c r="B125" i="27"/>
  <c r="B126" i="27"/>
  <c r="B126" i="29"/>
  <c r="B126" i="28"/>
  <c r="B128" i="28"/>
  <c r="B128" i="27"/>
  <c r="B128" i="29"/>
  <c r="B129" i="22"/>
  <c r="B129" i="29"/>
  <c r="B129" i="28"/>
  <c r="B129" i="27"/>
  <c r="B130" i="27"/>
  <c r="B130" i="29"/>
  <c r="B130" i="28"/>
  <c r="B131" i="22"/>
  <c r="B131" i="29"/>
  <c r="B131" i="28"/>
  <c r="B131" i="27"/>
  <c r="B132" i="17"/>
  <c r="B132" i="28"/>
  <c r="B132" i="27"/>
  <c r="B132" i="29"/>
  <c r="B147" i="27"/>
  <c r="B151" i="27"/>
  <c r="B151" i="29"/>
  <c r="B152" i="29"/>
  <c r="B154" i="27"/>
  <c r="B154" i="29"/>
  <c r="C92" i="26"/>
  <c r="B93" i="26"/>
  <c r="C107" i="26"/>
  <c r="B112" i="26"/>
  <c r="C114" i="26"/>
  <c r="B115" i="26"/>
  <c r="B116" i="26"/>
  <c r="C117" i="26"/>
  <c r="C118" i="26"/>
  <c r="B119" i="26"/>
  <c r="B120" i="26"/>
  <c r="C121" i="26"/>
  <c r="C122" i="26"/>
  <c r="B123" i="26"/>
  <c r="B124" i="26"/>
  <c r="C125" i="26"/>
  <c r="C126" i="26"/>
  <c r="B128" i="26"/>
  <c r="C129" i="26"/>
  <c r="C130" i="26"/>
  <c r="B131" i="26"/>
  <c r="B132" i="26"/>
  <c r="B147" i="26"/>
  <c r="C152" i="26"/>
  <c r="C154" i="26"/>
  <c r="S31" i="18"/>
  <c r="S31" i="20"/>
  <c r="S38" i="20"/>
  <c r="S31" i="21"/>
  <c r="S38" i="21"/>
  <c r="S31" i="22"/>
  <c r="G106" i="9"/>
  <c r="M151" i="21"/>
  <c r="H70" i="8"/>
  <c r="H106" i="9"/>
  <c r="D152" i="29"/>
  <c r="D153" i="28"/>
  <c r="D153" i="29"/>
  <c r="F67" i="8"/>
  <c r="F102" i="9"/>
  <c r="D111" i="28"/>
  <c r="D121" i="29"/>
  <c r="D125" i="28"/>
  <c r="D129" i="28"/>
  <c r="D129" i="29"/>
  <c r="B93" i="22"/>
  <c r="B93" i="20"/>
  <c r="B107" i="21"/>
  <c r="B107" i="19"/>
  <c r="B112" i="22"/>
  <c r="B113" i="17"/>
  <c r="B113" i="20"/>
  <c r="B113" i="19"/>
  <c r="B118" i="20"/>
  <c r="B116" i="20"/>
  <c r="B114" i="20"/>
  <c r="B128" i="22"/>
  <c r="B124" i="22"/>
  <c r="B120" i="22"/>
  <c r="C128" i="20"/>
  <c r="C126" i="20"/>
  <c r="C124" i="20"/>
  <c r="C122" i="20"/>
  <c r="C120" i="20"/>
  <c r="B129" i="17"/>
  <c r="B125" i="17"/>
  <c r="B123" i="17"/>
  <c r="B121" i="17"/>
  <c r="B119" i="17"/>
  <c r="C128" i="22"/>
  <c r="C126" i="22"/>
  <c r="C124" i="22"/>
  <c r="C122" i="22"/>
  <c r="C120" i="22"/>
  <c r="B129" i="21"/>
  <c r="B125" i="21"/>
  <c r="B123" i="21"/>
  <c r="B121" i="21"/>
  <c r="B119" i="21"/>
  <c r="B128" i="20"/>
  <c r="B126" i="20"/>
  <c r="B124" i="20"/>
  <c r="B122" i="20"/>
  <c r="B120" i="20"/>
  <c r="B129" i="19"/>
  <c r="B125" i="19"/>
  <c r="B123" i="19"/>
  <c r="B121" i="19"/>
  <c r="B119" i="19"/>
  <c r="C130" i="20"/>
  <c r="C130" i="22"/>
  <c r="B130" i="20"/>
  <c r="B131" i="17"/>
  <c r="B132" i="19"/>
  <c r="B132" i="20"/>
  <c r="C132" i="21"/>
  <c r="C132" i="19"/>
  <c r="B131" i="21"/>
  <c r="B143" i="21"/>
  <c r="C143" i="17"/>
  <c r="B114" i="17"/>
  <c r="C92" i="20"/>
  <c r="B118" i="17"/>
  <c r="B154" i="17"/>
  <c r="B154" i="20"/>
  <c r="B91" i="19"/>
  <c r="B92" i="20"/>
  <c r="B92" i="17"/>
  <c r="C111" i="21"/>
  <c r="C111" i="20"/>
  <c r="B115" i="22"/>
  <c r="B115" i="21"/>
  <c r="B115" i="17"/>
  <c r="B116" i="21"/>
  <c r="B116" i="22"/>
  <c r="B116" i="17"/>
  <c r="B91" i="20"/>
  <c r="B147" i="22"/>
  <c r="C152" i="21"/>
  <c r="C152" i="20"/>
  <c r="C154" i="22"/>
  <c r="C154" i="17"/>
  <c r="B92" i="19"/>
  <c r="C151" i="20"/>
  <c r="B111" i="19"/>
  <c r="B114" i="22"/>
  <c r="B118" i="22"/>
  <c r="C39" i="23"/>
  <c r="C18" i="23"/>
  <c r="C46" i="23"/>
  <c r="T9" i="29"/>
  <c r="S161" i="27"/>
  <c r="S20" i="26"/>
  <c r="S9" i="26"/>
  <c r="S46" i="28"/>
  <c r="E46" i="29"/>
  <c r="S46" i="29"/>
  <c r="S48" i="28"/>
  <c r="E48" i="29"/>
  <c r="S48" i="29"/>
  <c r="D123" i="29"/>
  <c r="J97" i="22"/>
  <c r="L103" i="21"/>
  <c r="S158" i="28"/>
  <c r="S161" i="26"/>
  <c r="D161" i="29"/>
  <c r="S161" i="29"/>
  <c r="S161" i="28"/>
  <c r="D154" i="28"/>
  <c r="S154" i="27"/>
  <c r="S153" i="27"/>
  <c r="D151" i="28"/>
  <c r="S151" i="27"/>
  <c r="D18" i="29"/>
  <c r="R12" i="27"/>
  <c r="N12" i="27"/>
  <c r="J12" i="27"/>
  <c r="F12" i="27"/>
  <c r="D29" i="29"/>
  <c r="S29" i="29"/>
  <c r="S29" i="28"/>
  <c r="M12" i="27"/>
  <c r="E12" i="27"/>
  <c r="S152" i="29"/>
  <c r="S152" i="28"/>
  <c r="D147" i="29"/>
  <c r="S147" i="29"/>
  <c r="S147" i="28"/>
  <c r="O12" i="27"/>
  <c r="G12" i="27"/>
  <c r="D17" i="28"/>
  <c r="S17" i="27"/>
  <c r="S158" i="29"/>
  <c r="O160" i="28"/>
  <c r="M160" i="28"/>
  <c r="K160" i="28"/>
  <c r="I160" i="28"/>
  <c r="G160" i="28"/>
  <c r="E160" i="28"/>
  <c r="N160" i="20"/>
  <c r="N159" i="28"/>
  <c r="L160" i="20"/>
  <c r="L159" i="28"/>
  <c r="J160" i="20"/>
  <c r="J159" i="28"/>
  <c r="H160" i="20"/>
  <c r="H159" i="28"/>
  <c r="F160" i="20"/>
  <c r="F159" i="28"/>
  <c r="D160" i="20"/>
  <c r="D159" i="28"/>
  <c r="S159" i="27"/>
  <c r="S143" i="28"/>
  <c r="D143" i="29"/>
  <c r="S143" i="29"/>
  <c r="S132" i="28"/>
  <c r="D132" i="29"/>
  <c r="S132" i="29"/>
  <c r="P12" i="27"/>
  <c r="L12" i="27"/>
  <c r="H12" i="27"/>
  <c r="I12" i="27"/>
  <c r="N160" i="28"/>
  <c r="L160" i="28"/>
  <c r="J160" i="28"/>
  <c r="H160" i="28"/>
  <c r="F160" i="28"/>
  <c r="D160" i="28"/>
  <c r="S160" i="27"/>
  <c r="O160" i="20"/>
  <c r="H160" i="21"/>
  <c r="O159" i="28"/>
  <c r="M160" i="20"/>
  <c r="M159" i="28"/>
  <c r="K160" i="20"/>
  <c r="K159" i="28"/>
  <c r="I160" i="20"/>
  <c r="I159" i="28"/>
  <c r="G160" i="20"/>
  <c r="G159" i="28"/>
  <c r="E160" i="20"/>
  <c r="E159" i="28"/>
  <c r="D142" i="28"/>
  <c r="S142" i="27"/>
  <c r="S129" i="27"/>
  <c r="D127" i="28"/>
  <c r="S127" i="27"/>
  <c r="S125" i="27"/>
  <c r="S123" i="27"/>
  <c r="S121" i="27"/>
  <c r="D119" i="28"/>
  <c r="S119" i="27"/>
  <c r="S117" i="27"/>
  <c r="S115" i="27"/>
  <c r="S113" i="27"/>
  <c r="S111" i="27"/>
  <c r="D45" i="28"/>
  <c r="S45" i="27"/>
  <c r="D43" i="28"/>
  <c r="S43" i="27"/>
  <c r="D42" i="28"/>
  <c r="S42" i="27"/>
  <c r="D40" i="28"/>
  <c r="S40" i="27"/>
  <c r="D38" i="28"/>
  <c r="S38" i="27"/>
  <c r="K12" i="27"/>
  <c r="J147" i="20"/>
  <c r="J148" i="20"/>
  <c r="M147" i="20"/>
  <c r="M148" i="20"/>
  <c r="G147" i="20"/>
  <c r="G148" i="20"/>
  <c r="G67" i="8"/>
  <c r="H102" i="9"/>
  <c r="D147" i="22"/>
  <c r="D148" i="22"/>
  <c r="G102" i="9"/>
  <c r="D147" i="21"/>
  <c r="D111" i="29"/>
  <c r="Q12" i="27"/>
  <c r="Q12" i="28"/>
  <c r="E159" i="29"/>
  <c r="G160" i="21"/>
  <c r="G159" i="29"/>
  <c r="I159" i="29"/>
  <c r="K160" i="21"/>
  <c r="K159" i="29"/>
  <c r="M159" i="29"/>
  <c r="O160" i="21"/>
  <c r="H160" i="22"/>
  <c r="O159" i="29"/>
  <c r="L12" i="28"/>
  <c r="D17" i="29"/>
  <c r="S17" i="28"/>
  <c r="O12" i="28"/>
  <c r="M12" i="28"/>
  <c r="R12" i="28"/>
  <c r="S151" i="28"/>
  <c r="D151" i="29"/>
  <c r="S151" i="29"/>
  <c r="S153" i="28"/>
  <c r="S153" i="29"/>
  <c r="S154" i="28"/>
  <c r="D154" i="29"/>
  <c r="S154" i="29"/>
  <c r="D38" i="29"/>
  <c r="S38" i="29"/>
  <c r="S38" i="28"/>
  <c r="D40" i="29"/>
  <c r="S40" i="29"/>
  <c r="S40" i="28"/>
  <c r="D42" i="29"/>
  <c r="S42" i="29"/>
  <c r="S42" i="28"/>
  <c r="D43" i="29"/>
  <c r="S43" i="29"/>
  <c r="S43" i="28"/>
  <c r="D45" i="29"/>
  <c r="S45" i="29"/>
  <c r="S45" i="28"/>
  <c r="S111" i="29"/>
  <c r="S111" i="28"/>
  <c r="S113" i="29"/>
  <c r="S113" i="28"/>
  <c r="S115" i="29"/>
  <c r="S115" i="28"/>
  <c r="S117" i="29"/>
  <c r="S117" i="28"/>
  <c r="D119" i="29"/>
  <c r="S119" i="29"/>
  <c r="S119" i="28"/>
  <c r="S121" i="29"/>
  <c r="S121" i="28"/>
  <c r="S123" i="29"/>
  <c r="S123" i="28"/>
  <c r="D125" i="29"/>
  <c r="S125" i="29"/>
  <c r="S125" i="28"/>
  <c r="D127" i="29"/>
  <c r="S127" i="29"/>
  <c r="S127" i="28"/>
  <c r="S129" i="29"/>
  <c r="S129" i="28"/>
  <c r="D142" i="29"/>
  <c r="S142" i="29"/>
  <c r="S142" i="28"/>
  <c r="D160" i="29"/>
  <c r="F160" i="29"/>
  <c r="H160" i="29"/>
  <c r="J160" i="29"/>
  <c r="L160" i="29"/>
  <c r="N160" i="29"/>
  <c r="P12" i="28"/>
  <c r="D160" i="21"/>
  <c r="D159" i="29"/>
  <c r="S159" i="28"/>
  <c r="F159" i="29"/>
  <c r="H159" i="29"/>
  <c r="J159" i="29"/>
  <c r="L159" i="29"/>
  <c r="N159" i="29"/>
  <c r="S160" i="28"/>
  <c r="E160" i="29"/>
  <c r="G160" i="29"/>
  <c r="I160" i="29"/>
  <c r="K160" i="29"/>
  <c r="M160" i="29"/>
  <c r="O160" i="29"/>
  <c r="E12" i="28"/>
  <c r="N12" i="28"/>
  <c r="H67" i="8"/>
  <c r="J160" i="22"/>
  <c r="N12" i="29"/>
  <c r="S159" i="29"/>
  <c r="P12" i="29"/>
  <c r="O12" i="29"/>
  <c r="S17" i="29"/>
  <c r="Q12" i="29"/>
  <c r="I160" i="22"/>
  <c r="S160" i="29"/>
  <c r="R12" i="29"/>
  <c r="M12" i="29"/>
  <c r="L12" i="29"/>
  <c r="L44" i="25"/>
  <c r="P44" i="25"/>
  <c r="G44" i="25"/>
  <c r="K44" i="25"/>
  <c r="J44" i="25"/>
  <c r="M44" i="25"/>
  <c r="F44" i="25"/>
  <c r="J43" i="25"/>
  <c r="P43" i="25"/>
  <c r="H44" i="25"/>
  <c r="I44" i="25"/>
  <c r="N44" i="25"/>
  <c r="O44" i="25"/>
  <c r="F43" i="25"/>
  <c r="S10" i="17"/>
  <c r="D9" i="28"/>
  <c r="D12" i="27"/>
  <c r="S12" i="27"/>
  <c r="S9" i="27"/>
  <c r="G9" i="29"/>
  <c r="G12" i="29"/>
  <c r="G12" i="28"/>
  <c r="I12" i="28"/>
  <c r="I9" i="29"/>
  <c r="I12" i="29"/>
  <c r="K12" i="28"/>
  <c r="K9" i="29"/>
  <c r="K12" i="29"/>
  <c r="F9" i="29"/>
  <c r="F12" i="29"/>
  <c r="F12" i="28"/>
  <c r="H9" i="29"/>
  <c r="H12" i="29"/>
  <c r="H12" i="28"/>
  <c r="J9" i="29"/>
  <c r="J12" i="29"/>
  <c r="J12" i="28"/>
  <c r="S16" i="17"/>
  <c r="N10" i="26"/>
  <c r="N10" i="27"/>
  <c r="N10" i="28"/>
  <c r="N10" i="29"/>
  <c r="D15" i="28"/>
  <c r="S15" i="27"/>
  <c r="S15" i="26"/>
  <c r="S15" i="17"/>
  <c r="R16" i="26"/>
  <c r="R16" i="27"/>
  <c r="R16" i="28"/>
  <c r="R16" i="29"/>
  <c r="S10" i="26"/>
  <c r="M10" i="27"/>
  <c r="M10" i="28"/>
  <c r="M10" i="29"/>
  <c r="L10" i="28"/>
  <c r="S12" i="17"/>
  <c r="D16" i="27"/>
  <c r="D12" i="28"/>
  <c r="D9" i="29"/>
  <c r="S9" i="28"/>
  <c r="G126" i="18"/>
  <c r="F127" i="18"/>
  <c r="H35" i="25"/>
  <c r="N127" i="18"/>
  <c r="P35" i="25"/>
  <c r="M141" i="19"/>
  <c r="M97" i="21"/>
  <c r="F107" i="18"/>
  <c r="O118" i="18"/>
  <c r="Q26" i="25"/>
  <c r="K118" i="18"/>
  <c r="M26" i="25"/>
  <c r="P26" i="21"/>
  <c r="O18" i="19"/>
  <c r="R18" i="22"/>
  <c r="J127" i="18"/>
  <c r="L35" i="25"/>
  <c r="F125" i="18"/>
  <c r="O127" i="18"/>
  <c r="Q35" i="25"/>
  <c r="G127" i="18"/>
  <c r="I35" i="25"/>
  <c r="H121" i="18"/>
  <c r="O119" i="18"/>
  <c r="Q27" i="25"/>
  <c r="K119" i="18"/>
  <c r="M27" i="25"/>
  <c r="J119" i="18"/>
  <c r="L27" i="25"/>
  <c r="G119" i="18"/>
  <c r="I27" i="25"/>
  <c r="J117" i="18"/>
  <c r="O117" i="18"/>
  <c r="G117" i="18"/>
  <c r="K117" i="18"/>
  <c r="N117" i="18"/>
  <c r="F117" i="18"/>
  <c r="G51" i="25"/>
  <c r="M132" i="18"/>
  <c r="O129" i="18"/>
  <c r="Q37" i="25"/>
  <c r="O126" i="18"/>
  <c r="E125" i="18"/>
  <c r="O72" i="18"/>
  <c r="G120" i="18"/>
  <c r="M113" i="18"/>
  <c r="G113" i="18"/>
  <c r="K113" i="18"/>
  <c r="F113" i="18"/>
  <c r="O113" i="18"/>
  <c r="J113" i="18"/>
  <c r="E113" i="18"/>
  <c r="K129" i="18"/>
  <c r="M37" i="25"/>
  <c r="D124" i="18"/>
  <c r="F32" i="25"/>
  <c r="E124" i="18"/>
  <c r="G32" i="25"/>
  <c r="J124" i="18"/>
  <c r="L32" i="25"/>
  <c r="O124" i="18"/>
  <c r="Q32" i="25"/>
  <c r="F124" i="18"/>
  <c r="H32" i="25"/>
  <c r="K124" i="18"/>
  <c r="M32" i="25"/>
  <c r="G124" i="18"/>
  <c r="I32" i="25"/>
  <c r="M124" i="18"/>
  <c r="O32" i="25"/>
  <c r="D112" i="18"/>
  <c r="F22" i="25"/>
  <c r="E112" i="18"/>
  <c r="G22" i="25"/>
  <c r="J112" i="18"/>
  <c r="L22" i="25"/>
  <c r="O112" i="18"/>
  <c r="Q22" i="25"/>
  <c r="F112" i="18"/>
  <c r="H22" i="25"/>
  <c r="K112" i="18"/>
  <c r="M22" i="25"/>
  <c r="G112" i="18"/>
  <c r="I22" i="25"/>
  <c r="M112" i="18"/>
  <c r="O22" i="25"/>
  <c r="N112" i="18"/>
  <c r="P22" i="25"/>
  <c r="D129" i="18"/>
  <c r="F37" i="25"/>
  <c r="R37" i="25"/>
  <c r="H129" i="18"/>
  <c r="J37" i="25"/>
  <c r="L129" i="18"/>
  <c r="N37" i="25"/>
  <c r="E129" i="18"/>
  <c r="G37" i="25"/>
  <c r="I129" i="18"/>
  <c r="K37" i="25"/>
  <c r="M129" i="18"/>
  <c r="O37" i="25"/>
  <c r="F129" i="18"/>
  <c r="H37" i="25"/>
  <c r="J129" i="18"/>
  <c r="L37" i="25"/>
  <c r="N129" i="18"/>
  <c r="P37" i="25"/>
  <c r="N124" i="18"/>
  <c r="P32" i="25"/>
  <c r="I112" i="18"/>
  <c r="K22" i="25"/>
  <c r="K120" i="18"/>
  <c r="N119" i="18"/>
  <c r="P27" i="25"/>
  <c r="F119" i="18"/>
  <c r="H27" i="25"/>
  <c r="M117" i="18"/>
  <c r="I117" i="18"/>
  <c r="E117" i="18"/>
  <c r="L113" i="18"/>
  <c r="H113" i="18"/>
  <c r="N123" i="18"/>
  <c r="P31" i="25"/>
  <c r="L117" i="18"/>
  <c r="H117" i="18"/>
  <c r="D122" i="18"/>
  <c r="F30" i="25"/>
  <c r="H122" i="18"/>
  <c r="J30" i="25"/>
  <c r="L122" i="18"/>
  <c r="N30" i="25"/>
  <c r="E122" i="18"/>
  <c r="G30" i="25"/>
  <c r="I122" i="18"/>
  <c r="K30" i="25"/>
  <c r="M122" i="18"/>
  <c r="O30" i="25"/>
  <c r="F122" i="18"/>
  <c r="H30" i="25"/>
  <c r="J122" i="18"/>
  <c r="L30" i="25"/>
  <c r="N122" i="18"/>
  <c r="P30" i="25"/>
  <c r="G122" i="18"/>
  <c r="I30" i="25"/>
  <c r="K122" i="18"/>
  <c r="M30" i="25"/>
  <c r="O122" i="18"/>
  <c r="Q30" i="25"/>
  <c r="D114" i="18"/>
  <c r="H114" i="18"/>
  <c r="L114" i="18"/>
  <c r="E114" i="18"/>
  <c r="I114" i="18"/>
  <c r="M114" i="18"/>
  <c r="F114" i="18"/>
  <c r="J114" i="18"/>
  <c r="N114" i="18"/>
  <c r="G114" i="18"/>
  <c r="K114" i="18"/>
  <c r="O114" i="18"/>
  <c r="D126" i="18"/>
  <c r="H126" i="18"/>
  <c r="L126" i="18"/>
  <c r="E126" i="18"/>
  <c r="I126" i="18"/>
  <c r="M126" i="18"/>
  <c r="F126" i="18"/>
  <c r="J126" i="18"/>
  <c r="N126" i="18"/>
  <c r="D118" i="18"/>
  <c r="F26" i="25"/>
  <c r="H118" i="18"/>
  <c r="J26" i="25"/>
  <c r="L118" i="18"/>
  <c r="N26" i="25"/>
  <c r="E118" i="18"/>
  <c r="G26" i="25"/>
  <c r="I118" i="18"/>
  <c r="K26" i="25"/>
  <c r="M118" i="18"/>
  <c r="O26" i="25"/>
  <c r="F118" i="18"/>
  <c r="H26" i="25"/>
  <c r="J118" i="18"/>
  <c r="L26" i="25"/>
  <c r="N118" i="18"/>
  <c r="P26" i="25"/>
  <c r="M131" i="18"/>
  <c r="O39" i="25"/>
  <c r="I131" i="18"/>
  <c r="K39" i="25"/>
  <c r="E131" i="18"/>
  <c r="G39" i="25"/>
  <c r="M127" i="18"/>
  <c r="O35" i="25"/>
  <c r="I127" i="18"/>
  <c r="K35" i="25"/>
  <c r="E127" i="18"/>
  <c r="G35" i="25"/>
  <c r="L124" i="18"/>
  <c r="N32" i="25"/>
  <c r="H124" i="18"/>
  <c r="J32" i="25"/>
  <c r="I123" i="18"/>
  <c r="K31" i="25"/>
  <c r="H120" i="18"/>
  <c r="M119" i="18"/>
  <c r="O27" i="25"/>
  <c r="I119" i="18"/>
  <c r="K27" i="25"/>
  <c r="E119" i="18"/>
  <c r="G27" i="25"/>
  <c r="L116" i="18"/>
  <c r="N25" i="25"/>
  <c r="H116" i="18"/>
  <c r="J25" i="25"/>
  <c r="L112" i="18"/>
  <c r="N22" i="25"/>
  <c r="H112" i="18"/>
  <c r="J22" i="25"/>
  <c r="L131" i="18"/>
  <c r="N39" i="25"/>
  <c r="H131" i="18"/>
  <c r="J39" i="25"/>
  <c r="L127" i="18"/>
  <c r="N35" i="25"/>
  <c r="H127" i="18"/>
  <c r="J35" i="25"/>
  <c r="H123" i="18"/>
  <c r="J31" i="25"/>
  <c r="L119" i="18"/>
  <c r="N27" i="25"/>
  <c r="H119" i="18"/>
  <c r="J27" i="25"/>
  <c r="J94" i="18"/>
  <c r="O43" i="25"/>
  <c r="S32" i="27"/>
  <c r="P32" i="28"/>
  <c r="P32" i="29"/>
  <c r="F32" i="29"/>
  <c r="S32" i="29"/>
  <c r="S32" i="28"/>
  <c r="S32" i="20"/>
  <c r="S32" i="18"/>
  <c r="S10" i="27"/>
  <c r="S12" i="28"/>
  <c r="S15" i="28"/>
  <c r="D15" i="29"/>
  <c r="S15" i="29"/>
  <c r="S16" i="26"/>
  <c r="L10" i="29"/>
  <c r="S10" i="29"/>
  <c r="S10" i="28"/>
  <c r="S9" i="29"/>
  <c r="D12" i="29"/>
  <c r="S12" i="29"/>
  <c r="D16" i="28"/>
  <c r="S16" i="27"/>
  <c r="O30" i="19"/>
  <c r="K30" i="19"/>
  <c r="G30" i="19"/>
  <c r="R30" i="19"/>
  <c r="N30" i="19"/>
  <c r="J30" i="19"/>
  <c r="F30" i="19"/>
  <c r="Q30" i="19"/>
  <c r="M30" i="19"/>
  <c r="I30" i="19"/>
  <c r="E30" i="19"/>
  <c r="L30" i="19"/>
  <c r="H30" i="19"/>
  <c r="D30" i="19"/>
  <c r="S30" i="19"/>
  <c r="P30" i="19"/>
  <c r="D18" i="22"/>
  <c r="D20" i="20"/>
  <c r="M20" i="20"/>
  <c r="O20" i="20"/>
  <c r="R20" i="20"/>
  <c r="N20" i="20"/>
  <c r="I20" i="20"/>
  <c r="P20" i="20"/>
  <c r="E20" i="20"/>
  <c r="H20" i="20"/>
  <c r="Q20" i="20"/>
  <c r="F20" i="20"/>
  <c r="K20" i="20"/>
  <c r="G20" i="20"/>
  <c r="J20" i="20"/>
  <c r="L20" i="20"/>
  <c r="R30" i="21"/>
  <c r="N30" i="21"/>
  <c r="J30" i="21"/>
  <c r="F30" i="21"/>
  <c r="Q30" i="21"/>
  <c r="M30" i="21"/>
  <c r="I30" i="21"/>
  <c r="E30" i="21"/>
  <c r="P30" i="21"/>
  <c r="L30" i="21"/>
  <c r="H30" i="21"/>
  <c r="D30" i="21"/>
  <c r="O30" i="21"/>
  <c r="K30" i="21"/>
  <c r="G30" i="21"/>
  <c r="S30" i="21"/>
  <c r="M26" i="22"/>
  <c r="I26" i="22"/>
  <c r="E26" i="22"/>
  <c r="P26" i="22"/>
  <c r="L26" i="22"/>
  <c r="H26" i="22"/>
  <c r="D26" i="22"/>
  <c r="O26" i="22"/>
  <c r="K26" i="22"/>
  <c r="J26" i="22"/>
  <c r="F26" i="22"/>
  <c r="R26" i="22"/>
  <c r="N26" i="22"/>
  <c r="O30" i="22"/>
  <c r="K30" i="22"/>
  <c r="G30" i="22"/>
  <c r="R30" i="22"/>
  <c r="N30" i="22"/>
  <c r="J30" i="22"/>
  <c r="F30" i="22"/>
  <c r="Q30" i="22"/>
  <c r="M30" i="22"/>
  <c r="I30" i="22"/>
  <c r="E30" i="22"/>
  <c r="L30" i="22"/>
  <c r="H30" i="22"/>
  <c r="D30" i="22"/>
  <c r="P30" i="22"/>
  <c r="R18" i="19"/>
  <c r="Q20" i="22"/>
  <c r="L20" i="22"/>
  <c r="D20" i="22"/>
  <c r="O20" i="22"/>
  <c r="N20" i="22"/>
  <c r="R20" i="22"/>
  <c r="E20" i="22"/>
  <c r="J20" i="22"/>
  <c r="P20" i="22"/>
  <c r="I20" i="22"/>
  <c r="G20" i="22"/>
  <c r="K20" i="22"/>
  <c r="M20" i="22"/>
  <c r="F20" i="22"/>
  <c r="H20" i="22"/>
  <c r="Q26" i="19"/>
  <c r="M26" i="19"/>
  <c r="I26" i="19"/>
  <c r="E26" i="19"/>
  <c r="P26" i="19"/>
  <c r="L26" i="19"/>
  <c r="H26" i="19"/>
  <c r="F26" i="19"/>
  <c r="O26" i="19"/>
  <c r="K26" i="19"/>
  <c r="G26" i="19"/>
  <c r="J26" i="19"/>
  <c r="D26" i="19"/>
  <c r="R26" i="19"/>
  <c r="N26" i="19"/>
  <c r="D20" i="19"/>
  <c r="O20" i="19"/>
  <c r="H20" i="19"/>
  <c r="K20" i="19"/>
  <c r="I20" i="19"/>
  <c r="P20" i="19"/>
  <c r="E20" i="19"/>
  <c r="G20" i="19"/>
  <c r="F20" i="19"/>
  <c r="L20" i="19"/>
  <c r="J20" i="19"/>
  <c r="M20" i="19"/>
  <c r="Q20" i="19"/>
  <c r="N20" i="19"/>
  <c r="R20" i="19"/>
  <c r="O30" i="20"/>
  <c r="K30" i="20"/>
  <c r="G30" i="20"/>
  <c r="R30" i="20"/>
  <c r="N30" i="20"/>
  <c r="J30" i="20"/>
  <c r="F30" i="20"/>
  <c r="Q30" i="20"/>
  <c r="M30" i="20"/>
  <c r="I30" i="20"/>
  <c r="E30" i="20"/>
  <c r="P30" i="20"/>
  <c r="L30" i="20"/>
  <c r="H30" i="20"/>
  <c r="S30" i="20"/>
  <c r="D30" i="20"/>
  <c r="O20" i="21"/>
  <c r="D20" i="21"/>
  <c r="H20" i="21"/>
  <c r="I20" i="21"/>
  <c r="L20" i="21"/>
  <c r="Q20" i="21"/>
  <c r="K20" i="21"/>
  <c r="P20" i="21"/>
  <c r="E20" i="21"/>
  <c r="N20" i="21"/>
  <c r="M20" i="21"/>
  <c r="G20" i="21"/>
  <c r="J20" i="21"/>
  <c r="F20" i="21"/>
  <c r="R20" i="21"/>
  <c r="D30" i="18"/>
  <c r="G20" i="18"/>
  <c r="K20" i="18"/>
  <c r="O20" i="18"/>
  <c r="D20" i="18"/>
  <c r="H20" i="18"/>
  <c r="J48" i="25"/>
  <c r="L20" i="18"/>
  <c r="N48" i="25"/>
  <c r="P20" i="18"/>
  <c r="E20" i="18"/>
  <c r="I20" i="18"/>
  <c r="K48" i="25"/>
  <c r="M20" i="18"/>
  <c r="Q20" i="18"/>
  <c r="F20" i="18"/>
  <c r="J20" i="18"/>
  <c r="N20" i="18"/>
  <c r="R20" i="18"/>
  <c r="O13" i="1"/>
  <c r="D16" i="29"/>
  <c r="S16" i="28"/>
  <c r="S30" i="22"/>
  <c r="S16" i="29"/>
  <c r="O13" i="21"/>
  <c r="G13" i="21"/>
  <c r="Q13" i="21"/>
  <c r="R13" i="21"/>
  <c r="K13" i="21"/>
  <c r="N13" i="21"/>
  <c r="D13" i="21"/>
  <c r="H13" i="21"/>
  <c r="M13" i="21"/>
  <c r="F13" i="21"/>
  <c r="P13" i="21"/>
  <c r="I13" i="21"/>
  <c r="L13" i="21"/>
  <c r="J13" i="21"/>
  <c r="E13" i="21"/>
  <c r="G13" i="20"/>
  <c r="R13" i="20"/>
  <c r="E13" i="20"/>
  <c r="K13" i="20"/>
  <c r="L13" i="20"/>
  <c r="Q13" i="20"/>
  <c r="P13" i="20"/>
  <c r="O13" i="20"/>
  <c r="M13" i="20"/>
  <c r="D13" i="20"/>
  <c r="N13" i="20"/>
  <c r="F13" i="20"/>
  <c r="J13" i="20"/>
  <c r="H13" i="20"/>
  <c r="I13" i="20"/>
  <c r="I13" i="22"/>
  <c r="G13" i="22"/>
  <c r="F13" i="22"/>
  <c r="D13" i="22"/>
  <c r="E13" i="22"/>
  <c r="R13" i="22"/>
  <c r="M13" i="22"/>
  <c r="J13" i="22"/>
  <c r="Q13" i="22"/>
  <c r="N13" i="22"/>
  <c r="K13" i="22"/>
  <c r="P13" i="22"/>
  <c r="H13" i="22"/>
  <c r="O13" i="22"/>
  <c r="L13" i="22"/>
  <c r="E13" i="19"/>
  <c r="H13" i="19"/>
  <c r="Q13" i="19"/>
  <c r="J13" i="19"/>
  <c r="K13" i="19"/>
  <c r="O13" i="19"/>
  <c r="G13" i="19"/>
  <c r="F13" i="19"/>
  <c r="D13" i="19"/>
  <c r="N13" i="19"/>
  <c r="P13" i="19"/>
  <c r="L13" i="19"/>
  <c r="M13" i="19"/>
  <c r="I13" i="19"/>
  <c r="R12" i="20"/>
  <c r="D12" i="20"/>
  <c r="G12" i="20"/>
  <c r="O12" i="20"/>
  <c r="J12" i="20"/>
  <c r="F12" i="20"/>
  <c r="P12" i="20"/>
  <c r="M12" i="20"/>
  <c r="H12" i="20"/>
  <c r="N12" i="20"/>
  <c r="K12" i="20"/>
  <c r="I12" i="20"/>
  <c r="Q12" i="20"/>
  <c r="E12" i="20"/>
  <c r="L12" i="20"/>
  <c r="H109" i="9"/>
  <c r="R12" i="21"/>
  <c r="P12" i="21"/>
  <c r="E12" i="21"/>
  <c r="Q12" i="21"/>
  <c r="N12" i="19"/>
  <c r="M12" i="19"/>
  <c r="G12" i="19"/>
  <c r="K12" i="19"/>
  <c r="J12" i="19"/>
  <c r="O12" i="19"/>
  <c r="I12" i="19"/>
  <c r="Q12" i="19"/>
  <c r="L12" i="19"/>
  <c r="H12" i="19"/>
  <c r="F12" i="19"/>
  <c r="P12" i="19"/>
  <c r="D12" i="19"/>
  <c r="E12" i="19"/>
  <c r="R12" i="19"/>
  <c r="G109" i="9"/>
  <c r="F109" i="9"/>
  <c r="K154" i="20"/>
  <c r="E109" i="9"/>
  <c r="J154" i="19"/>
  <c r="R13" i="19"/>
  <c r="L154" i="20"/>
  <c r="J154" i="20"/>
  <c r="G154" i="20"/>
  <c r="F101" i="1"/>
  <c r="F99" i="1"/>
  <c r="G59" i="18"/>
  <c r="I5" i="25"/>
  <c r="G121" i="19"/>
  <c r="I120" i="19"/>
  <c r="H120" i="19"/>
  <c r="E120" i="19"/>
  <c r="F120" i="19"/>
  <c r="D94" i="18"/>
  <c r="P51" i="25"/>
  <c r="L51" i="25"/>
  <c r="N51" i="25"/>
  <c r="J51" i="25"/>
  <c r="F51" i="25"/>
  <c r="M51" i="25"/>
  <c r="M48" i="25"/>
  <c r="I48" i="25"/>
  <c r="P48" i="25"/>
  <c r="L48" i="25"/>
  <c r="H48" i="25"/>
  <c r="O48" i="25"/>
  <c r="G48" i="25"/>
  <c r="R48" i="25"/>
  <c r="F48" i="25"/>
  <c r="Q48" i="25"/>
  <c r="S22" i="26"/>
  <c r="I22" i="28"/>
  <c r="S22" i="27"/>
  <c r="S20" i="19"/>
  <c r="S20" i="28"/>
  <c r="H20" i="29"/>
  <c r="S20" i="29"/>
  <c r="S20" i="22"/>
  <c r="S20" i="20"/>
  <c r="S20" i="27"/>
  <c r="S20" i="21"/>
  <c r="S14" i="26"/>
  <c r="E14" i="28"/>
  <c r="S14" i="27"/>
  <c r="F29" i="8"/>
  <c r="G29" i="8"/>
  <c r="E67" i="9"/>
  <c r="H62" i="14"/>
  <c r="G63" i="14"/>
  <c r="F62" i="14"/>
  <c r="E63" i="14"/>
  <c r="E15" i="15"/>
  <c r="J19" i="19"/>
  <c r="E74" i="9"/>
  <c r="I51" i="25"/>
  <c r="S55" i="26"/>
  <c r="D55" i="27"/>
  <c r="D55" i="28"/>
  <c r="D55" i="29"/>
  <c r="R27" i="29"/>
  <c r="R27" i="22"/>
  <c r="R27" i="21"/>
  <c r="R27" i="20"/>
  <c r="Q27" i="20"/>
  <c r="Q27" i="28"/>
  <c r="Q27" i="19"/>
  <c r="P27" i="28"/>
  <c r="P27" i="20"/>
  <c r="P27" i="19"/>
  <c r="N27" i="29"/>
  <c r="N27" i="22"/>
  <c r="N27" i="21"/>
  <c r="N27" i="20"/>
  <c r="L27" i="20"/>
  <c r="L27" i="28"/>
  <c r="K27" i="20"/>
  <c r="K27" i="28"/>
  <c r="I27" i="20"/>
  <c r="I27" i="28"/>
  <c r="H27" i="21"/>
  <c r="H27" i="29"/>
  <c r="H27" i="22"/>
  <c r="G27" i="28"/>
  <c r="G27" i="20"/>
  <c r="F27" i="29"/>
  <c r="F27" i="22"/>
  <c r="F27" i="21"/>
  <c r="F27" i="20"/>
  <c r="E27" i="28"/>
  <c r="S27" i="27"/>
  <c r="E27" i="20"/>
  <c r="S27" i="26"/>
  <c r="E27" i="19"/>
  <c r="S27" i="19"/>
  <c r="D27" i="21"/>
  <c r="D27" i="29"/>
  <c r="K141" i="19"/>
  <c r="G141" i="19"/>
  <c r="H141" i="19"/>
  <c r="B140" i="21"/>
  <c r="C140" i="27"/>
  <c r="B140" i="28"/>
  <c r="E141" i="19"/>
  <c r="C138" i="17"/>
  <c r="B140" i="17"/>
  <c r="B140" i="29"/>
  <c r="C135" i="28"/>
  <c r="C139" i="20"/>
  <c r="F54" i="8"/>
  <c r="F137" i="19"/>
  <c r="C137" i="20"/>
  <c r="C135" i="18"/>
  <c r="F57" i="8"/>
  <c r="F53" i="8"/>
  <c r="G136" i="19"/>
  <c r="F60" i="8"/>
  <c r="F98" i="9"/>
  <c r="E98" i="9"/>
  <c r="E143" i="19"/>
  <c r="F56" i="8"/>
  <c r="M139" i="19"/>
  <c r="C137" i="26"/>
  <c r="C139" i="22"/>
  <c r="F59" i="8"/>
  <c r="M142" i="19"/>
  <c r="F55" i="8"/>
  <c r="K138" i="19"/>
  <c r="E97" i="21"/>
  <c r="C92" i="19"/>
  <c r="B152" i="20"/>
  <c r="C91" i="17"/>
  <c r="C91" i="19"/>
  <c r="B95" i="20"/>
  <c r="B111" i="27"/>
  <c r="B95" i="29"/>
  <c r="C96" i="27"/>
  <c r="C92" i="28"/>
  <c r="C91" i="29"/>
  <c r="B95" i="17"/>
  <c r="B95" i="26"/>
  <c r="C105" i="28"/>
  <c r="C101" i="22"/>
  <c r="C137" i="17"/>
  <c r="C137" i="19"/>
  <c r="F96" i="19"/>
  <c r="I147" i="18"/>
  <c r="I148" i="18"/>
  <c r="K97" i="21"/>
  <c r="C91" i="22"/>
  <c r="B95" i="22"/>
  <c r="C96" i="26"/>
  <c r="B111" i="21"/>
  <c r="B95" i="27"/>
  <c r="G151" i="20"/>
  <c r="C143" i="27"/>
  <c r="C96" i="28"/>
  <c r="C92" i="29"/>
  <c r="C91" i="27"/>
  <c r="B95" i="19"/>
  <c r="C96" i="17"/>
  <c r="C143" i="22"/>
  <c r="B138" i="20"/>
  <c r="C102" i="29"/>
  <c r="C140" i="26"/>
  <c r="C138" i="27"/>
  <c r="C138" i="29"/>
  <c r="C140" i="19"/>
  <c r="C139" i="28"/>
  <c r="C137" i="22"/>
  <c r="C135" i="20"/>
  <c r="H100" i="18"/>
  <c r="D103" i="9"/>
  <c r="L97" i="21"/>
  <c r="C92" i="22"/>
  <c r="B152" i="17"/>
  <c r="C91" i="21"/>
  <c r="C92" i="17"/>
  <c r="B152" i="28"/>
  <c r="B95" i="28"/>
  <c r="C91" i="26"/>
  <c r="C143" i="21"/>
  <c r="C92" i="21"/>
  <c r="C91" i="20"/>
  <c r="C143" i="20"/>
  <c r="B95" i="21"/>
  <c r="C138" i="26"/>
  <c r="B104" i="27"/>
  <c r="C138" i="22"/>
  <c r="C137" i="27"/>
  <c r="C137" i="28"/>
  <c r="C137" i="29"/>
  <c r="C137" i="21"/>
  <c r="H139" i="18"/>
  <c r="D151" i="22"/>
  <c r="N151" i="22"/>
  <c r="J151" i="22"/>
  <c r="I151" i="22"/>
  <c r="O151" i="22"/>
  <c r="J153" i="19"/>
  <c r="E153" i="19"/>
  <c r="M153" i="19"/>
  <c r="H153" i="19"/>
  <c r="K153" i="19"/>
  <c r="G153" i="19"/>
  <c r="F58" i="8"/>
  <c r="H141" i="20"/>
  <c r="F154" i="21"/>
  <c r="J154" i="21"/>
  <c r="B137" i="18"/>
  <c r="B137" i="27"/>
  <c r="B137" i="29"/>
  <c r="B137" i="19"/>
  <c r="B136" i="21"/>
  <c r="B136" i="26"/>
  <c r="B136" i="29"/>
  <c r="F17" i="8"/>
  <c r="E55" i="9"/>
  <c r="O99" i="19"/>
  <c r="B91" i="27"/>
  <c r="M153" i="20"/>
  <c r="L153" i="20"/>
  <c r="O101" i="19"/>
  <c r="K101" i="19"/>
  <c r="M101" i="19"/>
  <c r="B137" i="21"/>
  <c r="D137" i="18"/>
  <c r="N137" i="18"/>
  <c r="B97" i="21"/>
  <c r="B97" i="26"/>
  <c r="C94" i="18"/>
  <c r="C94" i="29"/>
  <c r="C94" i="26"/>
  <c r="C94" i="17"/>
  <c r="B93" i="18"/>
  <c r="B93" i="29"/>
  <c r="B93" i="19"/>
  <c r="B93" i="17"/>
  <c r="B93" i="28"/>
  <c r="K154" i="22"/>
  <c r="N154" i="22"/>
  <c r="F103" i="9"/>
  <c r="I147" i="20"/>
  <c r="I148" i="20"/>
  <c r="L147" i="20"/>
  <c r="L148" i="20"/>
  <c r="K147" i="20"/>
  <c r="K148" i="20"/>
  <c r="H97" i="21"/>
  <c r="O97" i="21"/>
  <c r="I97" i="21"/>
  <c r="F97" i="21"/>
  <c r="G97" i="21"/>
  <c r="D97" i="21"/>
  <c r="N97" i="21"/>
  <c r="D151" i="20"/>
  <c r="N151" i="20"/>
  <c r="F151" i="20"/>
  <c r="M151" i="20"/>
  <c r="J151" i="20"/>
  <c r="E151" i="20"/>
  <c r="L151" i="20"/>
  <c r="O151" i="20"/>
  <c r="I151" i="20"/>
  <c r="K151" i="20"/>
  <c r="H72" i="8"/>
  <c r="H108" i="9"/>
  <c r="G108" i="9"/>
  <c r="E153" i="21"/>
  <c r="B154" i="18"/>
  <c r="B154" i="28"/>
  <c r="B154" i="19"/>
  <c r="B154" i="21"/>
  <c r="B154" i="22"/>
  <c r="C152" i="18"/>
  <c r="C152" i="19"/>
  <c r="C152" i="17"/>
  <c r="C152" i="27"/>
  <c r="C152" i="28"/>
  <c r="C152" i="22"/>
  <c r="B151" i="18"/>
  <c r="B151" i="28"/>
  <c r="B151" i="21"/>
  <c r="B151" i="26"/>
  <c r="B151" i="19"/>
  <c r="B151" i="17"/>
  <c r="B151" i="20"/>
  <c r="C142" i="18"/>
  <c r="C142" i="20"/>
  <c r="C142" i="26"/>
  <c r="C142" i="17"/>
  <c r="C142" i="22"/>
  <c r="B141" i="22"/>
  <c r="B141" i="20"/>
  <c r="B141" i="26"/>
  <c r="C111" i="18"/>
  <c r="C111" i="29"/>
  <c r="C111" i="17"/>
  <c r="C111" i="19"/>
  <c r="C111" i="22"/>
  <c r="B107" i="18"/>
  <c r="B107" i="20"/>
  <c r="B107" i="27"/>
  <c r="B107" i="29"/>
  <c r="B107" i="26"/>
  <c r="H96" i="18"/>
  <c r="J147" i="18"/>
  <c r="J148" i="18"/>
  <c r="N141" i="19"/>
  <c r="D141" i="19"/>
  <c r="G19" i="19"/>
  <c r="B111" i="22"/>
  <c r="B92" i="21"/>
  <c r="B111" i="20"/>
  <c r="C143" i="19"/>
  <c r="C95" i="26"/>
  <c r="B152" i="21"/>
  <c r="B111" i="28"/>
  <c r="B92" i="29"/>
  <c r="C143" i="28"/>
  <c r="C95" i="28"/>
  <c r="E142" i="19"/>
  <c r="O141" i="19"/>
  <c r="D98" i="19"/>
  <c r="B98" i="20"/>
  <c r="B98" i="22"/>
  <c r="B98" i="27"/>
  <c r="C138" i="21"/>
  <c r="E62" i="9"/>
  <c r="O106" i="19"/>
  <c r="H135" i="18"/>
  <c r="F38" i="8"/>
  <c r="F76" i="9"/>
  <c r="M96" i="18"/>
  <c r="F141" i="19"/>
  <c r="I141" i="19"/>
  <c r="B152" i="22"/>
  <c r="B152" i="19"/>
  <c r="B92" i="22"/>
  <c r="B111" i="17"/>
  <c r="C143" i="26"/>
  <c r="B111" i="26"/>
  <c r="B152" i="27"/>
  <c r="B111" i="29"/>
  <c r="C143" i="29"/>
  <c r="J141" i="19"/>
  <c r="B152" i="26"/>
  <c r="C138" i="28"/>
  <c r="B98" i="17"/>
  <c r="B98" i="28"/>
  <c r="C138" i="20"/>
  <c r="C105" i="27"/>
  <c r="E58" i="9"/>
  <c r="J102" i="19"/>
  <c r="O100" i="18"/>
  <c r="N94" i="19"/>
  <c r="L91" i="18"/>
  <c r="N15" i="25"/>
  <c r="E154" i="20"/>
  <c r="H154" i="20"/>
  <c r="D107" i="18"/>
  <c r="K107" i="18"/>
  <c r="L151" i="22"/>
  <c r="K151" i="22"/>
  <c r="C94" i="19"/>
  <c r="C94" i="20"/>
  <c r="B143" i="17"/>
  <c r="B143" i="28"/>
  <c r="C153" i="27"/>
  <c r="C93" i="29"/>
  <c r="M143" i="19"/>
  <c r="B138" i="28"/>
  <c r="B104" i="17"/>
  <c r="C142" i="19"/>
  <c r="C101" i="21"/>
  <c r="C139" i="29"/>
  <c r="C141" i="19"/>
  <c r="C139" i="19"/>
  <c r="C101" i="29"/>
  <c r="C101" i="27"/>
  <c r="C141" i="18"/>
  <c r="I107" i="18"/>
  <c r="J107" i="18"/>
  <c r="G107" i="18"/>
  <c r="G97" i="22"/>
  <c r="C94" i="22"/>
  <c r="B143" i="29"/>
  <c r="C153" i="28"/>
  <c r="B104" i="20"/>
  <c r="B104" i="21"/>
  <c r="C101" i="26"/>
  <c r="B104" i="28"/>
  <c r="C101" i="20"/>
  <c r="C105" i="17"/>
  <c r="B104" i="19"/>
  <c r="D154" i="19"/>
  <c r="I154" i="20"/>
  <c r="N154" i="20"/>
  <c r="M107" i="18"/>
  <c r="O107" i="18"/>
  <c r="L107" i="18"/>
  <c r="I101" i="19"/>
  <c r="F151" i="22"/>
  <c r="G151" i="22"/>
  <c r="C94" i="21"/>
  <c r="B143" i="22"/>
  <c r="B143" i="27"/>
  <c r="C93" i="26"/>
  <c r="C153" i="21"/>
  <c r="C93" i="22"/>
  <c r="C93" i="17"/>
  <c r="C153" i="22"/>
  <c r="B140" i="20"/>
  <c r="B138" i="21"/>
  <c r="B138" i="22"/>
  <c r="C142" i="27"/>
  <c r="C142" i="28"/>
  <c r="C142" i="29"/>
  <c r="B140" i="27"/>
  <c r="C142" i="21"/>
  <c r="C105" i="20"/>
  <c r="C139" i="17"/>
  <c r="C139" i="26"/>
  <c r="C139" i="27"/>
  <c r="C141" i="28"/>
  <c r="C139" i="21"/>
  <c r="C101" i="28"/>
  <c r="C101" i="17"/>
  <c r="C105" i="19"/>
  <c r="O137" i="18"/>
  <c r="J135" i="18"/>
  <c r="G106" i="18"/>
  <c r="J100" i="18"/>
  <c r="C93" i="18"/>
  <c r="G61" i="14"/>
  <c r="G60" i="14"/>
  <c r="E61" i="14"/>
  <c r="E60" i="14"/>
  <c r="H68" i="14"/>
  <c r="H63" i="14"/>
  <c r="G62" i="14"/>
  <c r="F63" i="14"/>
  <c r="E62" i="14"/>
  <c r="H61" i="14"/>
  <c r="H60" i="14"/>
  <c r="F61" i="14"/>
  <c r="F60" i="14"/>
  <c r="G62" i="8"/>
  <c r="M143" i="20"/>
  <c r="G61" i="8"/>
  <c r="G57" i="8"/>
  <c r="G59" i="8"/>
  <c r="G60" i="8"/>
  <c r="G98" i="9"/>
  <c r="G56" i="8"/>
  <c r="N143" i="19"/>
  <c r="N141" i="18"/>
  <c r="J137" i="18"/>
  <c r="M135" i="18"/>
  <c r="G135" i="18"/>
  <c r="K141" i="18"/>
  <c r="L135" i="18"/>
  <c r="D135" i="18"/>
  <c r="I143" i="19"/>
  <c r="J93" i="18"/>
  <c r="L17" i="25"/>
  <c r="O93" i="18"/>
  <c r="H99" i="19"/>
  <c r="E106" i="19"/>
  <c r="N106" i="19"/>
  <c r="N100" i="18"/>
  <c r="F100" i="18"/>
  <c r="G93" i="18"/>
  <c r="I103" i="21"/>
  <c r="G99" i="19"/>
  <c r="D106" i="19"/>
  <c r="E59" i="9"/>
  <c r="J103" i="19"/>
  <c r="F59" i="9"/>
  <c r="F106" i="19"/>
  <c r="K100" i="18"/>
  <c r="D100" i="18"/>
  <c r="D103" i="21"/>
  <c r="D99" i="19"/>
  <c r="I106" i="19"/>
  <c r="H106" i="19"/>
  <c r="S47" i="18"/>
  <c r="S37" i="18"/>
  <c r="S37" i="21"/>
  <c r="S27" i="18"/>
  <c r="S30" i="18"/>
  <c r="L111" i="18"/>
  <c r="Q51" i="25"/>
  <c r="S46" i="18"/>
  <c r="B97" i="11"/>
  <c r="E29" i="9"/>
  <c r="E12" i="9"/>
  <c r="E14" i="9"/>
  <c r="K60" i="19"/>
  <c r="E28" i="9"/>
  <c r="H74" i="19"/>
  <c r="E21" i="9"/>
  <c r="E26" i="9"/>
  <c r="L72" i="19"/>
  <c r="E9" i="9"/>
  <c r="D56" i="19"/>
  <c r="E147" i="22"/>
  <c r="E148" i="22"/>
  <c r="M135" i="20"/>
  <c r="F51" i="8"/>
  <c r="F89" i="9"/>
  <c r="H133" i="19"/>
  <c r="F41" i="8"/>
  <c r="D131" i="20"/>
  <c r="F42" i="8"/>
  <c r="F80" i="9"/>
  <c r="F36" i="8"/>
  <c r="F74" i="9"/>
  <c r="J120" i="20"/>
  <c r="F35" i="8"/>
  <c r="F73" i="9"/>
  <c r="D117" i="19"/>
  <c r="F30" i="8"/>
  <c r="F44" i="8"/>
  <c r="I126" i="19"/>
  <c r="F39" i="8"/>
  <c r="F77" i="9"/>
  <c r="F37" i="8"/>
  <c r="F75" i="9"/>
  <c r="F32" i="8"/>
  <c r="F70" i="9"/>
  <c r="F31" i="8"/>
  <c r="F69" i="9"/>
  <c r="F40" i="8"/>
  <c r="F78" i="9"/>
  <c r="H122" i="19"/>
  <c r="F45" i="8"/>
  <c r="F83" i="9"/>
  <c r="F33" i="8"/>
  <c r="F71" i="9"/>
  <c r="H116" i="19"/>
  <c r="F43" i="8"/>
  <c r="F81" i="9"/>
  <c r="J125" i="19"/>
  <c r="E63" i="9"/>
  <c r="J107" i="19"/>
  <c r="G96" i="18"/>
  <c r="L96" i="18"/>
  <c r="F96" i="18"/>
  <c r="H20" i="25"/>
  <c r="E96" i="18"/>
  <c r="J96" i="18"/>
  <c r="L20" i="25"/>
  <c r="K96" i="18"/>
  <c r="H96" i="19"/>
  <c r="I96" i="18"/>
  <c r="N96" i="18"/>
  <c r="O96" i="18"/>
  <c r="M92" i="18"/>
  <c r="S20" i="18"/>
  <c r="S12" i="18"/>
  <c r="S13" i="19"/>
  <c r="S13" i="21"/>
  <c r="S46" i="22"/>
  <c r="D46" i="21"/>
  <c r="F46" i="21"/>
  <c r="H46" i="21"/>
  <c r="J46" i="21"/>
  <c r="L46" i="21"/>
  <c r="N46" i="21"/>
  <c r="P46" i="21"/>
  <c r="S46" i="20"/>
  <c r="H140" i="20"/>
  <c r="M140" i="20"/>
  <c r="C151" i="18"/>
  <c r="C151" i="29"/>
  <c r="C104" i="29"/>
  <c r="C104" i="22"/>
  <c r="B91" i="18"/>
  <c r="B91" i="28"/>
  <c r="N94" i="18"/>
  <c r="G94" i="18"/>
  <c r="K141" i="20"/>
  <c r="F147" i="22"/>
  <c r="F148" i="22"/>
  <c r="K147" i="22"/>
  <c r="K148" i="22"/>
  <c r="K103" i="21"/>
  <c r="F103" i="21"/>
  <c r="N103" i="21"/>
  <c r="B147" i="19"/>
  <c r="C154" i="19"/>
  <c r="C151" i="17"/>
  <c r="B147" i="17"/>
  <c r="B91" i="21"/>
  <c r="B153" i="26"/>
  <c r="B153" i="29"/>
  <c r="B91" i="29"/>
  <c r="C151" i="19"/>
  <c r="I153" i="20"/>
  <c r="F151" i="19"/>
  <c r="B153" i="21"/>
  <c r="D147" i="19"/>
  <c r="D148" i="19"/>
  <c r="H147" i="19"/>
  <c r="H148" i="19"/>
  <c r="E147" i="19"/>
  <c r="E148" i="19"/>
  <c r="D103" i="19"/>
  <c r="C104" i="28"/>
  <c r="J98" i="19"/>
  <c r="O98" i="19"/>
  <c r="G98" i="19"/>
  <c r="H98" i="19"/>
  <c r="M98" i="19"/>
  <c r="E98" i="19"/>
  <c r="D141" i="18"/>
  <c r="H141" i="18"/>
  <c r="L141" i="18"/>
  <c r="E141" i="18"/>
  <c r="I141" i="18"/>
  <c r="M141" i="18"/>
  <c r="E137" i="18"/>
  <c r="F137" i="18"/>
  <c r="K137" i="18"/>
  <c r="G137" i="18"/>
  <c r="L137" i="18"/>
  <c r="B137" i="20"/>
  <c r="B137" i="28"/>
  <c r="B137" i="26"/>
  <c r="B137" i="22"/>
  <c r="B147" i="18"/>
  <c r="B147" i="21"/>
  <c r="B141" i="18"/>
  <c r="B141" i="21"/>
  <c r="B141" i="19"/>
  <c r="B141" i="29"/>
  <c r="B141" i="27"/>
  <c r="B141" i="17"/>
  <c r="B141" i="28"/>
  <c r="B96" i="18"/>
  <c r="B96" i="26"/>
  <c r="B96" i="19"/>
  <c r="B96" i="21"/>
  <c r="B96" i="17"/>
  <c r="M94" i="18"/>
  <c r="K94" i="18"/>
  <c r="I136" i="19"/>
  <c r="D107" i="19"/>
  <c r="N107" i="19"/>
  <c r="H147" i="22"/>
  <c r="H148" i="22"/>
  <c r="M147" i="22"/>
  <c r="M148" i="22"/>
  <c r="E103" i="21"/>
  <c r="M103" i="21"/>
  <c r="H103" i="21"/>
  <c r="C154" i="20"/>
  <c r="C151" i="21"/>
  <c r="B91" i="22"/>
  <c r="B153" i="27"/>
  <c r="B147" i="29"/>
  <c r="B96" i="28"/>
  <c r="N151" i="19"/>
  <c r="B139" i="27"/>
  <c r="J141" i="18"/>
  <c r="C107" i="18"/>
  <c r="C107" i="27"/>
  <c r="C107" i="19"/>
  <c r="C107" i="17"/>
  <c r="F103" i="18"/>
  <c r="I103" i="18"/>
  <c r="O103" i="18"/>
  <c r="C102" i="18"/>
  <c r="C102" i="19"/>
  <c r="C102" i="17"/>
  <c r="C102" i="20"/>
  <c r="C102" i="26"/>
  <c r="C102" i="28"/>
  <c r="D153" i="20"/>
  <c r="H153" i="20"/>
  <c r="E153" i="20"/>
  <c r="N153" i="20"/>
  <c r="F153" i="20"/>
  <c r="O153" i="20"/>
  <c r="C154" i="18"/>
  <c r="C154" i="28"/>
  <c r="B100" i="26"/>
  <c r="B100" i="21"/>
  <c r="B100" i="20"/>
  <c r="C97" i="21"/>
  <c r="C97" i="27"/>
  <c r="L154" i="21"/>
  <c r="I94" i="18"/>
  <c r="K154" i="19"/>
  <c r="H154" i="19"/>
  <c r="F94" i="18"/>
  <c r="H94" i="18"/>
  <c r="O94" i="18"/>
  <c r="N141" i="20"/>
  <c r="H107" i="19"/>
  <c r="H103" i="9"/>
  <c r="H151" i="22"/>
  <c r="E151" i="22"/>
  <c r="S151" i="22"/>
  <c r="M151" i="22"/>
  <c r="N147" i="22"/>
  <c r="N148" i="22"/>
  <c r="E151" i="21"/>
  <c r="M153" i="21"/>
  <c r="G103" i="21"/>
  <c r="O103" i="21"/>
  <c r="C154" i="21"/>
  <c r="C151" i="22"/>
  <c r="B147" i="20"/>
  <c r="B91" i="17"/>
  <c r="B96" i="20"/>
  <c r="C151" i="26"/>
  <c r="B96" i="29"/>
  <c r="C154" i="29"/>
  <c r="C151" i="27"/>
  <c r="G153" i="20"/>
  <c r="J153" i="20"/>
  <c r="B96" i="22"/>
  <c r="D153" i="19"/>
  <c r="N153" i="19"/>
  <c r="F153" i="19"/>
  <c r="O153" i="19"/>
  <c r="C153" i="18"/>
  <c r="C153" i="29"/>
  <c r="C153" i="19"/>
  <c r="C153" i="20"/>
  <c r="O141" i="18"/>
  <c r="G141" i="18"/>
  <c r="H137" i="18"/>
  <c r="F136" i="18"/>
  <c r="K136" i="18"/>
  <c r="O136" i="18"/>
  <c r="C135" i="21"/>
  <c r="C135" i="26"/>
  <c r="C135" i="22"/>
  <c r="C135" i="29"/>
  <c r="C135" i="17"/>
  <c r="C111" i="28"/>
  <c r="C94" i="27"/>
  <c r="C93" i="27"/>
  <c r="B107" i="17"/>
  <c r="C93" i="19"/>
  <c r="C103" i="19"/>
  <c r="B102" i="21"/>
  <c r="B104" i="22"/>
  <c r="C105" i="26"/>
  <c r="B104" i="26"/>
  <c r="B102" i="27"/>
  <c r="C105" i="22"/>
  <c r="C105" i="29"/>
  <c r="O106" i="18"/>
  <c r="C111" i="26"/>
  <c r="C94" i="28"/>
  <c r="C93" i="28"/>
  <c r="C93" i="21"/>
  <c r="B107" i="22"/>
  <c r="B104" i="29"/>
  <c r="C105" i="21"/>
  <c r="K106" i="18"/>
  <c r="L100" i="18"/>
  <c r="G100" i="18"/>
  <c r="S22" i="20"/>
  <c r="S22" i="22"/>
  <c r="S129" i="18"/>
  <c r="B127" i="17"/>
  <c r="B127" i="26"/>
  <c r="B127" i="27"/>
  <c r="D20" i="16"/>
  <c r="B127" i="21"/>
  <c r="B127" i="28"/>
  <c r="B127" i="19"/>
  <c r="B127" i="29"/>
  <c r="B127" i="20"/>
  <c r="B127" i="22"/>
  <c r="H142" i="20"/>
  <c r="M142" i="20"/>
  <c r="E142" i="20"/>
  <c r="N142" i="20"/>
  <c r="F142" i="20"/>
  <c r="K142" i="20"/>
  <c r="L142" i="20"/>
  <c r="D142" i="20"/>
  <c r="I142" i="20"/>
  <c r="O135" i="19"/>
  <c r="G135" i="19"/>
  <c r="E143" i="18"/>
  <c r="D143" i="18"/>
  <c r="J143" i="18"/>
  <c r="O143" i="18"/>
  <c r="F143" i="18"/>
  <c r="K143" i="18"/>
  <c r="G143" i="18"/>
  <c r="L143" i="18"/>
  <c r="F140" i="18"/>
  <c r="E140" i="18"/>
  <c r="M140" i="18"/>
  <c r="G140" i="18"/>
  <c r="O140" i="18"/>
  <c r="I140" i="18"/>
  <c r="D120" i="18"/>
  <c r="I120" i="18"/>
  <c r="N120" i="18"/>
  <c r="B94" i="18"/>
  <c r="B94" i="19"/>
  <c r="B94" i="20"/>
  <c r="G154" i="21"/>
  <c r="G154" i="22"/>
  <c r="E111" i="18"/>
  <c r="L120" i="18"/>
  <c r="F111" i="18"/>
  <c r="E120" i="18"/>
  <c r="E132" i="18"/>
  <c r="F132" i="18"/>
  <c r="B94" i="22"/>
  <c r="C119" i="27"/>
  <c r="C119" i="19"/>
  <c r="G142" i="20"/>
  <c r="D151" i="19"/>
  <c r="L151" i="19"/>
  <c r="O151" i="19"/>
  <c r="I151" i="19"/>
  <c r="J151" i="19"/>
  <c r="K151" i="19"/>
  <c r="E151" i="19"/>
  <c r="H151" i="19"/>
  <c r="G151" i="19"/>
  <c r="B94" i="26"/>
  <c r="N153" i="18"/>
  <c r="B153" i="18"/>
  <c r="B153" i="20"/>
  <c r="B153" i="22"/>
  <c r="B153" i="19"/>
  <c r="B153" i="17"/>
  <c r="B142" i="26"/>
  <c r="B142" i="22"/>
  <c r="B142" i="21"/>
  <c r="E139" i="18"/>
  <c r="D139" i="18"/>
  <c r="J139" i="18"/>
  <c r="O139" i="18"/>
  <c r="F139" i="18"/>
  <c r="K139" i="18"/>
  <c r="G139" i="18"/>
  <c r="L139" i="18"/>
  <c r="B123" i="18"/>
  <c r="B123" i="20"/>
  <c r="C96" i="18"/>
  <c r="C96" i="22"/>
  <c r="C96" i="20"/>
  <c r="C96" i="21"/>
  <c r="M154" i="22"/>
  <c r="I111" i="18"/>
  <c r="N111" i="18"/>
  <c r="J120" i="18"/>
  <c r="M120" i="18"/>
  <c r="H153" i="21"/>
  <c r="O143" i="20"/>
  <c r="B94" i="21"/>
  <c r="B94" i="29"/>
  <c r="O142" i="20"/>
  <c r="N143" i="18"/>
  <c r="B143" i="18"/>
  <c r="B143" i="20"/>
  <c r="B143" i="26"/>
  <c r="B136" i="18"/>
  <c r="B136" i="27"/>
  <c r="B136" i="20"/>
  <c r="B136" i="28"/>
  <c r="B136" i="19"/>
  <c r="B136" i="17"/>
  <c r="B136" i="22"/>
  <c r="B120" i="18"/>
  <c r="B120" i="19"/>
  <c r="B120" i="17"/>
  <c r="B120" i="21"/>
  <c r="C112" i="18"/>
  <c r="C112" i="22"/>
  <c r="C106" i="18"/>
  <c r="C106" i="20"/>
  <c r="C106" i="26"/>
  <c r="C106" i="29"/>
  <c r="C106" i="21"/>
  <c r="C106" i="27"/>
  <c r="C106" i="22"/>
  <c r="C106" i="28"/>
  <c r="E98" i="18"/>
  <c r="F98" i="18"/>
  <c r="L98" i="18"/>
  <c r="H98" i="18"/>
  <c r="M98" i="18"/>
  <c r="I98" i="18"/>
  <c r="N98" i="18"/>
  <c r="C97" i="18"/>
  <c r="C97" i="22"/>
  <c r="C97" i="19"/>
  <c r="C97" i="26"/>
  <c r="C97" i="17"/>
  <c r="C97" i="28"/>
  <c r="C97" i="29"/>
  <c r="C97" i="20"/>
  <c r="H103" i="19"/>
  <c r="N140" i="20"/>
  <c r="F140" i="20"/>
  <c r="K140" i="20"/>
  <c r="L140" i="20"/>
  <c r="D140" i="20"/>
  <c r="I140" i="20"/>
  <c r="J140" i="20"/>
  <c r="O140" i="20"/>
  <c r="G140" i="20"/>
  <c r="G138" i="18"/>
  <c r="K138" i="18"/>
  <c r="O138" i="18"/>
  <c r="C119" i="18"/>
  <c r="C119" i="17"/>
  <c r="C119" i="21"/>
  <c r="C119" i="20"/>
  <c r="J111" i="18"/>
  <c r="D111" i="18"/>
  <c r="E102" i="18"/>
  <c r="G102" i="18"/>
  <c r="H102" i="18"/>
  <c r="L102" i="18"/>
  <c r="C100" i="18"/>
  <c r="C100" i="22"/>
  <c r="C100" i="19"/>
  <c r="C100" i="17"/>
  <c r="C100" i="29"/>
  <c r="C100" i="28"/>
  <c r="C100" i="20"/>
  <c r="C100" i="26"/>
  <c r="C95" i="18"/>
  <c r="C95" i="22"/>
  <c r="C95" i="19"/>
  <c r="C95" i="17"/>
  <c r="C95" i="20"/>
  <c r="C95" i="21"/>
  <c r="O154" i="21"/>
  <c r="J154" i="22"/>
  <c r="O154" i="22"/>
  <c r="H111" i="18"/>
  <c r="M111" i="18"/>
  <c r="L132" i="18"/>
  <c r="O120" i="18"/>
  <c r="O111" i="18"/>
  <c r="F120" i="18"/>
  <c r="I132" i="18"/>
  <c r="N132" i="18"/>
  <c r="B94" i="27"/>
  <c r="C119" i="26"/>
  <c r="C95" i="27"/>
  <c r="B94" i="17"/>
  <c r="C119" i="22"/>
  <c r="E140" i="20"/>
  <c r="J142" i="20"/>
  <c r="G141" i="20"/>
  <c r="C100" i="27"/>
  <c r="E153" i="18"/>
  <c r="D153" i="18"/>
  <c r="J153" i="18"/>
  <c r="O153" i="18"/>
  <c r="F153" i="18"/>
  <c r="K153" i="18"/>
  <c r="G153" i="18"/>
  <c r="L153" i="18"/>
  <c r="H143" i="18"/>
  <c r="K140" i="18"/>
  <c r="B139" i="18"/>
  <c r="B139" i="19"/>
  <c r="B139" i="17"/>
  <c r="B139" i="20"/>
  <c r="B139" i="28"/>
  <c r="B139" i="29"/>
  <c r="B139" i="26"/>
  <c r="B139" i="21"/>
  <c r="G131" i="18"/>
  <c r="I39" i="25"/>
  <c r="J131" i="18"/>
  <c r="L39" i="25"/>
  <c r="B125" i="18"/>
  <c r="B125" i="20"/>
  <c r="B121" i="18"/>
  <c r="B121" i="26"/>
  <c r="B121" i="20"/>
  <c r="D104" i="18"/>
  <c r="G104" i="18"/>
  <c r="K104" i="18"/>
  <c r="O104" i="18"/>
  <c r="M102" i="18"/>
  <c r="O142" i="18"/>
  <c r="M137" i="18"/>
  <c r="I137" i="18"/>
  <c r="M136" i="18"/>
  <c r="E136" i="18"/>
  <c r="O135" i="18"/>
  <c r="K135" i="18"/>
  <c r="F135" i="18"/>
  <c r="M133" i="18"/>
  <c r="I133" i="18"/>
  <c r="N106" i="18"/>
  <c r="F106" i="18"/>
  <c r="M100" i="18"/>
  <c r="I100" i="18"/>
  <c r="I136" i="18"/>
  <c r="J106" i="18"/>
  <c r="J123" i="18"/>
  <c r="L31" i="25"/>
  <c r="L123" i="18"/>
  <c r="N31" i="25"/>
  <c r="M123" i="18"/>
  <c r="O31" i="25"/>
  <c r="G123" i="18"/>
  <c r="I31" i="25"/>
  <c r="O123" i="18"/>
  <c r="Q31" i="25"/>
  <c r="E123" i="18"/>
  <c r="G31" i="25"/>
  <c r="F123" i="18"/>
  <c r="H31" i="25"/>
  <c r="H121" i="19"/>
  <c r="I121" i="18"/>
  <c r="K121" i="18"/>
  <c r="L137" i="19"/>
  <c r="O137" i="19"/>
  <c r="E137" i="19"/>
  <c r="N102" i="19"/>
  <c r="D102" i="19"/>
  <c r="D134" i="18"/>
  <c r="H134" i="18"/>
  <c r="L134" i="18"/>
  <c r="E134" i="18"/>
  <c r="I134" i="18"/>
  <c r="M134" i="18"/>
  <c r="F134" i="18"/>
  <c r="J134" i="18"/>
  <c r="N134" i="18"/>
  <c r="G134" i="18"/>
  <c r="K134" i="18"/>
  <c r="O134" i="18"/>
  <c r="C118" i="18"/>
  <c r="C118" i="21"/>
  <c r="C118" i="20"/>
  <c r="C118" i="29"/>
  <c r="C118" i="19"/>
  <c r="C118" i="28"/>
  <c r="C118" i="22"/>
  <c r="B117" i="18"/>
  <c r="B117" i="22"/>
  <c r="B117" i="29"/>
  <c r="B117" i="20"/>
  <c r="B117" i="28"/>
  <c r="B117" i="19"/>
  <c r="B117" i="21"/>
  <c r="C113" i="18"/>
  <c r="C113" i="29"/>
  <c r="C113" i="20"/>
  <c r="C113" i="19"/>
  <c r="C113" i="28"/>
  <c r="C113" i="17"/>
  <c r="C113" i="22"/>
  <c r="C113" i="21"/>
  <c r="C113" i="26"/>
  <c r="B99" i="18"/>
  <c r="B99" i="29"/>
  <c r="B99" i="17"/>
  <c r="B99" i="21"/>
  <c r="B99" i="28"/>
  <c r="B99" i="20"/>
  <c r="B99" i="27"/>
  <c r="B99" i="22"/>
  <c r="B99" i="26"/>
  <c r="O154" i="19"/>
  <c r="L154" i="19"/>
  <c r="F154" i="20"/>
  <c r="M154" i="20"/>
  <c r="D154" i="20"/>
  <c r="O154" i="20"/>
  <c r="N154" i="21"/>
  <c r="D154" i="21"/>
  <c r="E154" i="22"/>
  <c r="I154" i="22"/>
  <c r="N120" i="19"/>
  <c r="K120" i="19"/>
  <c r="O120" i="19"/>
  <c r="S124" i="18"/>
  <c r="K153" i="21"/>
  <c r="N153" i="21"/>
  <c r="F153" i="21"/>
  <c r="D153" i="21"/>
  <c r="I153" i="21"/>
  <c r="L153" i="21"/>
  <c r="O153" i="21"/>
  <c r="G153" i="21"/>
  <c r="J153" i="21"/>
  <c r="C118" i="27"/>
  <c r="C118" i="17"/>
  <c r="N139" i="19"/>
  <c r="N137" i="20"/>
  <c r="F137" i="20"/>
  <c r="K137" i="20"/>
  <c r="L137" i="20"/>
  <c r="D137" i="20"/>
  <c r="I137" i="20"/>
  <c r="J137" i="20"/>
  <c r="O137" i="20"/>
  <c r="G137" i="20"/>
  <c r="D151" i="18"/>
  <c r="H151" i="18"/>
  <c r="L151" i="18"/>
  <c r="E151" i="18"/>
  <c r="I151" i="18"/>
  <c r="M151" i="18"/>
  <c r="F151" i="18"/>
  <c r="J151" i="18"/>
  <c r="N151" i="18"/>
  <c r="G151" i="18"/>
  <c r="K151" i="18"/>
  <c r="O151" i="18"/>
  <c r="C147" i="18"/>
  <c r="C147" i="20"/>
  <c r="C147" i="27"/>
  <c r="C147" i="26"/>
  <c r="C147" i="22"/>
  <c r="C147" i="29"/>
  <c r="C147" i="17"/>
  <c r="C147" i="21"/>
  <c r="C147" i="19"/>
  <c r="N154" i="19"/>
  <c r="F154" i="22"/>
  <c r="D154" i="22"/>
  <c r="H154" i="22"/>
  <c r="D120" i="19"/>
  <c r="M120" i="19"/>
  <c r="S117" i="18"/>
  <c r="B117" i="17"/>
  <c r="H117" i="19"/>
  <c r="B117" i="26"/>
  <c r="H105" i="19"/>
  <c r="G105" i="19"/>
  <c r="J105" i="19"/>
  <c r="J97" i="19"/>
  <c r="I97" i="19"/>
  <c r="L97" i="19"/>
  <c r="G102" i="19"/>
  <c r="D151" i="21"/>
  <c r="K151" i="21"/>
  <c r="N151" i="21"/>
  <c r="F151" i="21"/>
  <c r="I151" i="21"/>
  <c r="L151" i="21"/>
  <c r="O151" i="21"/>
  <c r="G151" i="21"/>
  <c r="J151" i="21"/>
  <c r="L120" i="19"/>
  <c r="G120" i="19"/>
  <c r="R27" i="25"/>
  <c r="M129" i="20"/>
  <c r="H151" i="21"/>
  <c r="B117" i="27"/>
  <c r="D122" i="19"/>
  <c r="D132" i="19"/>
  <c r="I132" i="19"/>
  <c r="G132" i="19"/>
  <c r="D94" i="19"/>
  <c r="L94" i="19"/>
  <c r="H135" i="19"/>
  <c r="M135" i="19"/>
  <c r="E135" i="19"/>
  <c r="N135" i="19"/>
  <c r="F135" i="19"/>
  <c r="K135" i="19"/>
  <c r="L135" i="19"/>
  <c r="D135" i="19"/>
  <c r="I135" i="19"/>
  <c r="H133" i="20"/>
  <c r="O133" i="20"/>
  <c r="N133" i="20"/>
  <c r="M133" i="20"/>
  <c r="G133" i="20"/>
  <c r="I133" i="20"/>
  <c r="D133" i="20"/>
  <c r="K133" i="20"/>
  <c r="C136" i="18"/>
  <c r="C136" i="20"/>
  <c r="C136" i="21"/>
  <c r="C136" i="22"/>
  <c r="C136" i="17"/>
  <c r="C136" i="29"/>
  <c r="C136" i="28"/>
  <c r="C136" i="19"/>
  <c r="C136" i="27"/>
  <c r="J147" i="22"/>
  <c r="J148" i="22"/>
  <c r="G147" i="22"/>
  <c r="G148" i="22"/>
  <c r="O147" i="22"/>
  <c r="O148" i="22"/>
  <c r="K142" i="18"/>
  <c r="B142" i="18"/>
  <c r="B142" i="29"/>
  <c r="B142" i="17"/>
  <c r="B142" i="28"/>
  <c r="B142" i="19"/>
  <c r="B142" i="27"/>
  <c r="D138" i="18"/>
  <c r="H138" i="18"/>
  <c r="L138" i="18"/>
  <c r="E138" i="18"/>
  <c r="I138" i="18"/>
  <c r="M138" i="18"/>
  <c r="F138" i="18"/>
  <c r="J138" i="18"/>
  <c r="N138" i="18"/>
  <c r="S119" i="18"/>
  <c r="B106" i="18"/>
  <c r="B106" i="28"/>
  <c r="B106" i="19"/>
  <c r="B106" i="27"/>
  <c r="B106" i="26"/>
  <c r="C104" i="18"/>
  <c r="C104" i="19"/>
  <c r="C104" i="17"/>
  <c r="C104" i="20"/>
  <c r="C104" i="26"/>
  <c r="C104" i="21"/>
  <c r="C104" i="27"/>
  <c r="B100" i="18"/>
  <c r="B100" i="29"/>
  <c r="B100" i="17"/>
  <c r="B100" i="28"/>
  <c r="B100" i="19"/>
  <c r="B100" i="27"/>
  <c r="C98" i="18"/>
  <c r="C98" i="22"/>
  <c r="L147" i="22"/>
  <c r="L148" i="22"/>
  <c r="I147" i="22"/>
  <c r="I148" i="22"/>
  <c r="C140" i="18"/>
  <c r="C140" i="20"/>
  <c r="C140" i="29"/>
  <c r="C140" i="21"/>
  <c r="C140" i="22"/>
  <c r="B134" i="18"/>
  <c r="B134" i="29"/>
  <c r="B134" i="17"/>
  <c r="B134" i="28"/>
  <c r="B134" i="19"/>
  <c r="B134" i="27"/>
  <c r="B101" i="29"/>
  <c r="B101" i="17"/>
  <c r="D142" i="18"/>
  <c r="H142" i="18"/>
  <c r="L142" i="18"/>
  <c r="E142" i="18"/>
  <c r="I142" i="18"/>
  <c r="M142" i="18"/>
  <c r="F142" i="18"/>
  <c r="J142" i="18"/>
  <c r="N142" i="18"/>
  <c r="B138" i="18"/>
  <c r="B138" i="27"/>
  <c r="B138" i="26"/>
  <c r="B138" i="19"/>
  <c r="B138" i="29"/>
  <c r="B103" i="18"/>
  <c r="B103" i="29"/>
  <c r="B103" i="17"/>
  <c r="B103" i="22"/>
  <c r="B102" i="18"/>
  <c r="B102" i="19"/>
  <c r="B102" i="26"/>
  <c r="B102" i="29"/>
  <c r="B102" i="17"/>
  <c r="B102" i="28"/>
  <c r="G97" i="18"/>
  <c r="K97" i="18"/>
  <c r="O97" i="18"/>
  <c r="M153" i="18"/>
  <c r="I153" i="18"/>
  <c r="K147" i="18"/>
  <c r="K148" i="18"/>
  <c r="M143" i="18"/>
  <c r="I143" i="18"/>
  <c r="L140" i="18"/>
  <c r="H140" i="18"/>
  <c r="D140" i="18"/>
  <c r="M139" i="18"/>
  <c r="I139" i="18"/>
  <c r="L136" i="18"/>
  <c r="H136" i="18"/>
  <c r="D136" i="18"/>
  <c r="I135" i="18"/>
  <c r="F131" i="18"/>
  <c r="H39" i="25"/>
  <c r="D113" i="18"/>
  <c r="S113" i="18"/>
  <c r="N104" i="18"/>
  <c r="F104" i="18"/>
  <c r="G103" i="18"/>
  <c r="O101" i="18"/>
  <c r="K99" i="18"/>
  <c r="O98" i="18"/>
  <c r="K98" i="18"/>
  <c r="G98" i="18"/>
  <c r="L94" i="18"/>
  <c r="N140" i="18"/>
  <c r="J140" i="18"/>
  <c r="N136" i="18"/>
  <c r="J136" i="18"/>
  <c r="N131" i="18"/>
  <c r="P39" i="25"/>
  <c r="J104" i="18"/>
  <c r="K103" i="18"/>
  <c r="K111" i="18"/>
  <c r="H107" i="18"/>
  <c r="G14" i="8"/>
  <c r="F52" i="9"/>
  <c r="G13" i="8"/>
  <c r="G51" i="9"/>
  <c r="F51" i="9"/>
  <c r="L95" i="20"/>
  <c r="K95" i="18"/>
  <c r="M19" i="25"/>
  <c r="E51" i="9"/>
  <c r="E47" i="9"/>
  <c r="E68" i="14"/>
  <c r="G147" i="18"/>
  <c r="G148" i="18"/>
  <c r="L147" i="21"/>
  <c r="L148" i="21"/>
  <c r="D147" i="20"/>
  <c r="D148" i="20"/>
  <c r="H147" i="18"/>
  <c r="H148" i="18"/>
  <c r="M147" i="18"/>
  <c r="M148" i="18"/>
  <c r="F147" i="18"/>
  <c r="F148" i="18"/>
  <c r="N147" i="18"/>
  <c r="N148" i="18"/>
  <c r="I147" i="21"/>
  <c r="I148" i="21"/>
  <c r="O147" i="18"/>
  <c r="O148" i="18"/>
  <c r="E147" i="18"/>
  <c r="E148" i="18"/>
  <c r="E132" i="19"/>
  <c r="F132" i="19"/>
  <c r="J132" i="18"/>
  <c r="K132" i="18"/>
  <c r="G132" i="18"/>
  <c r="N132" i="19"/>
  <c r="H132" i="19"/>
  <c r="L132" i="19"/>
  <c r="J132" i="19"/>
  <c r="H132" i="18"/>
  <c r="O132" i="18"/>
  <c r="K132" i="19"/>
  <c r="O132" i="19"/>
  <c r="M132" i="19"/>
  <c r="I127" i="19"/>
  <c r="S127" i="18"/>
  <c r="H125" i="18"/>
  <c r="J125" i="18"/>
  <c r="I125" i="18"/>
  <c r="M125" i="18"/>
  <c r="N125" i="18"/>
  <c r="O125" i="19"/>
  <c r="L125" i="18"/>
  <c r="O125" i="18"/>
  <c r="G125" i="18"/>
  <c r="D125" i="19"/>
  <c r="K125" i="18"/>
  <c r="S122" i="18"/>
  <c r="F122" i="19"/>
  <c r="M122" i="19"/>
  <c r="J121" i="19"/>
  <c r="L121" i="19"/>
  <c r="L121" i="18"/>
  <c r="J121" i="18"/>
  <c r="G121" i="18"/>
  <c r="M121" i="19"/>
  <c r="N121" i="19"/>
  <c r="E121" i="19"/>
  <c r="M121" i="18"/>
  <c r="N121" i="18"/>
  <c r="K121" i="19"/>
  <c r="O121" i="19"/>
  <c r="D121" i="19"/>
  <c r="I121" i="19"/>
  <c r="E121" i="18"/>
  <c r="F121" i="18"/>
  <c r="O121" i="18"/>
  <c r="F121" i="19"/>
  <c r="N116" i="18"/>
  <c r="P25" i="25"/>
  <c r="J116" i="18"/>
  <c r="L25" i="25"/>
  <c r="D116" i="18"/>
  <c r="F25" i="25"/>
  <c r="M116" i="18"/>
  <c r="O25" i="25"/>
  <c r="G116" i="18"/>
  <c r="I25" i="25"/>
  <c r="S114" i="18"/>
  <c r="M111" i="19"/>
  <c r="L96" i="19"/>
  <c r="G96" i="19"/>
  <c r="G50" i="9"/>
  <c r="L94" i="21"/>
  <c r="H12" i="8"/>
  <c r="H50" i="9"/>
  <c r="I94" i="19"/>
  <c r="H94" i="19"/>
  <c r="E94" i="19"/>
  <c r="G94" i="19"/>
  <c r="M94" i="19"/>
  <c r="O94" i="19"/>
  <c r="F50" i="9"/>
  <c r="J94" i="20"/>
  <c r="K92" i="18"/>
  <c r="E48" i="9"/>
  <c r="L92" i="19"/>
  <c r="G92" i="18"/>
  <c r="O92" i="18"/>
  <c r="E92" i="18"/>
  <c r="H51" i="25"/>
  <c r="S44" i="18"/>
  <c r="S22" i="19"/>
  <c r="S22" i="21"/>
  <c r="S22" i="18"/>
  <c r="S37" i="20"/>
  <c r="S37" i="19"/>
  <c r="S37" i="22"/>
  <c r="S13" i="22"/>
  <c r="S13" i="20"/>
  <c r="S12" i="20"/>
  <c r="S12" i="19"/>
  <c r="Q43" i="25"/>
  <c r="S13" i="18"/>
  <c r="C6" i="32"/>
  <c r="C14" i="32"/>
  <c r="C17" i="32"/>
  <c r="E73" i="18"/>
  <c r="G86" i="18"/>
  <c r="O87" i="18"/>
  <c r="F87" i="21"/>
  <c r="L86" i="21"/>
  <c r="O87" i="20"/>
  <c r="K86" i="22"/>
  <c r="F87" i="22"/>
  <c r="S2" i="12"/>
  <c r="S11" i="11"/>
  <c r="S15" i="11"/>
  <c r="S14" i="11"/>
  <c r="S16" i="11"/>
  <c r="S10" i="11"/>
  <c r="S12" i="11"/>
  <c r="S8" i="11"/>
  <c r="S9" i="11"/>
  <c r="S13" i="11"/>
  <c r="S17" i="11"/>
  <c r="T15" i="11"/>
  <c r="T14" i="11"/>
  <c r="T10" i="11"/>
  <c r="T11" i="11"/>
  <c r="T16" i="11"/>
  <c r="T12" i="11"/>
  <c r="T9" i="11"/>
  <c r="T13" i="11"/>
  <c r="T8" i="11"/>
  <c r="T17" i="11"/>
  <c r="S13" i="1"/>
  <c r="T13" i="1"/>
  <c r="N7" i="10"/>
  <c r="L7" i="11"/>
  <c r="L7" i="12"/>
  <c r="L7" i="13"/>
  <c r="H99" i="1"/>
  <c r="I7" i="11"/>
  <c r="K7" i="10"/>
  <c r="M7" i="10"/>
  <c r="D148" i="21"/>
  <c r="F147" i="21"/>
  <c r="F148" i="21"/>
  <c r="N147" i="21"/>
  <c r="N148" i="21"/>
  <c r="K147" i="21"/>
  <c r="K148" i="21"/>
  <c r="G103" i="9"/>
  <c r="J20" i="16"/>
  <c r="H147" i="21"/>
  <c r="H148" i="21"/>
  <c r="E147" i="21"/>
  <c r="E148" i="21"/>
  <c r="M147" i="21"/>
  <c r="M148" i="21"/>
  <c r="O147" i="20"/>
  <c r="O148" i="20"/>
  <c r="F147" i="20"/>
  <c r="F148" i="20"/>
  <c r="N147" i="20"/>
  <c r="N148" i="20"/>
  <c r="J147" i="21"/>
  <c r="J148" i="21"/>
  <c r="G147" i="21"/>
  <c r="G148" i="21"/>
  <c r="O147" i="21"/>
  <c r="O148" i="21"/>
  <c r="E147" i="20"/>
  <c r="E148" i="20"/>
  <c r="H147" i="20"/>
  <c r="H148" i="20"/>
  <c r="K147" i="19"/>
  <c r="K148" i="19"/>
  <c r="M147" i="19"/>
  <c r="M148" i="19"/>
  <c r="L147" i="19"/>
  <c r="L148" i="19"/>
  <c r="G147" i="19"/>
  <c r="G148" i="19"/>
  <c r="I147" i="19"/>
  <c r="I148" i="19"/>
  <c r="J147" i="19"/>
  <c r="J148" i="19"/>
  <c r="E103" i="9"/>
  <c r="F20" i="16"/>
  <c r="O147" i="19"/>
  <c r="O148" i="19"/>
  <c r="F147" i="19"/>
  <c r="F148" i="19"/>
  <c r="N147" i="19"/>
  <c r="N148" i="19"/>
  <c r="D148" i="18"/>
  <c r="L147" i="18"/>
  <c r="L148" i="18"/>
  <c r="G51" i="8"/>
  <c r="G89" i="9"/>
  <c r="H131" i="19"/>
  <c r="D131" i="19"/>
  <c r="K131" i="18"/>
  <c r="M39" i="25"/>
  <c r="D131" i="18"/>
  <c r="F39" i="25"/>
  <c r="O131" i="18"/>
  <c r="Q39" i="25"/>
  <c r="G44" i="8"/>
  <c r="G82" i="9"/>
  <c r="K123" i="18"/>
  <c r="M31" i="25"/>
  <c r="I123" i="19"/>
  <c r="S118" i="18"/>
  <c r="G36" i="8"/>
  <c r="G74" i="9"/>
  <c r="G35" i="8"/>
  <c r="G73" i="9"/>
  <c r="O116" i="19"/>
  <c r="L115" i="19"/>
  <c r="H115" i="19"/>
  <c r="M115" i="19"/>
  <c r="G115" i="19"/>
  <c r="J115" i="19"/>
  <c r="N115" i="19"/>
  <c r="O115" i="19"/>
  <c r="E115" i="19"/>
  <c r="D115" i="19"/>
  <c r="L112" i="19"/>
  <c r="H29" i="8"/>
  <c r="H67" i="9"/>
  <c r="G67" i="9"/>
  <c r="F67" i="9"/>
  <c r="H25" i="8"/>
  <c r="H63" i="9"/>
  <c r="O107" i="22"/>
  <c r="G63" i="9"/>
  <c r="O107" i="21"/>
  <c r="E107" i="19"/>
  <c r="F107" i="19"/>
  <c r="G107" i="19"/>
  <c r="P107" i="18"/>
  <c r="P108" i="18"/>
  <c r="R107" i="18"/>
  <c r="R108" i="18"/>
  <c r="Q107" i="18"/>
  <c r="Q108" i="18"/>
  <c r="K107" i="19"/>
  <c r="N107" i="18"/>
  <c r="O96" i="19"/>
  <c r="E96" i="19"/>
  <c r="J96" i="19"/>
  <c r="M96" i="19"/>
  <c r="N96" i="19"/>
  <c r="K96" i="19"/>
  <c r="I96" i="19"/>
  <c r="L95" i="18"/>
  <c r="E95" i="18"/>
  <c r="M95" i="18"/>
  <c r="O19" i="25"/>
  <c r="F95" i="18"/>
  <c r="N95" i="18"/>
  <c r="G95" i="18"/>
  <c r="O95" i="18"/>
  <c r="Q19" i="25"/>
  <c r="H95" i="18"/>
  <c r="I95" i="18"/>
  <c r="J95" i="18"/>
  <c r="F49" i="9"/>
  <c r="G11" i="8"/>
  <c r="N93" i="18"/>
  <c r="E93" i="18"/>
  <c r="L93" i="18"/>
  <c r="E49" i="9"/>
  <c r="D93" i="18"/>
  <c r="K93" i="18"/>
  <c r="M93" i="18"/>
  <c r="I93" i="18"/>
  <c r="K17" i="25"/>
  <c r="H93" i="18"/>
  <c r="J17" i="25"/>
  <c r="I92" i="18"/>
  <c r="F48" i="9"/>
  <c r="G10" i="8"/>
  <c r="L92" i="18"/>
  <c r="H92" i="18"/>
  <c r="J16" i="25"/>
  <c r="D92" i="18"/>
  <c r="O92" i="19"/>
  <c r="N92" i="18"/>
  <c r="J92" i="18"/>
  <c r="F47" i="9"/>
  <c r="F91" i="20"/>
  <c r="G9" i="8"/>
  <c r="E91" i="18"/>
  <c r="F91" i="18"/>
  <c r="O91" i="18"/>
  <c r="F26" i="8"/>
  <c r="J91" i="18"/>
  <c r="L15" i="25"/>
  <c r="G91" i="18"/>
  <c r="I91" i="18"/>
  <c r="K15" i="25"/>
  <c r="H91" i="18"/>
  <c r="J15" i="25"/>
  <c r="M91" i="18"/>
  <c r="N91" i="18"/>
  <c r="K91" i="18"/>
  <c r="L24" i="15"/>
  <c r="L25" i="15"/>
  <c r="S21" i="18"/>
  <c r="Q49" i="25"/>
  <c r="R49" i="25"/>
  <c r="O12" i="22"/>
  <c r="E12" i="22"/>
  <c r="D12" i="22"/>
  <c r="F12" i="22"/>
  <c r="J12" i="22"/>
  <c r="I12" i="22"/>
  <c r="N12" i="22"/>
  <c r="R12" i="22"/>
  <c r="K12" i="22"/>
  <c r="P12" i="22"/>
  <c r="G12" i="22"/>
  <c r="H12" i="22"/>
  <c r="M12" i="22"/>
  <c r="Q12" i="22"/>
  <c r="L12" i="22"/>
  <c r="F12" i="21"/>
  <c r="I12" i="21"/>
  <c r="K12" i="21"/>
  <c r="L12" i="21"/>
  <c r="H12" i="21"/>
  <c r="N12" i="21"/>
  <c r="O12" i="21"/>
  <c r="J12" i="21"/>
  <c r="G12" i="21"/>
  <c r="M12" i="21"/>
  <c r="D12" i="21"/>
  <c r="Q44" i="25"/>
  <c r="R44" i="25"/>
  <c r="G43" i="25"/>
  <c r="E26" i="21"/>
  <c r="H57" i="14"/>
  <c r="I26" i="21"/>
  <c r="N26" i="21"/>
  <c r="D18" i="19"/>
  <c r="Q18" i="19"/>
  <c r="P18" i="19"/>
  <c r="E18" i="19"/>
  <c r="F18" i="19"/>
  <c r="G18" i="19"/>
  <c r="L18" i="19"/>
  <c r="I18" i="19"/>
  <c r="J18" i="19"/>
  <c r="K18" i="19"/>
  <c r="H18" i="19"/>
  <c r="M18" i="19"/>
  <c r="N18" i="19"/>
  <c r="F18" i="22"/>
  <c r="G18" i="22"/>
  <c r="F68" i="14"/>
  <c r="F57" i="14"/>
  <c r="F8" i="32"/>
  <c r="D57" i="14"/>
  <c r="S26" i="19"/>
  <c r="H18" i="22"/>
  <c r="E18" i="22"/>
  <c r="J18" i="22"/>
  <c r="K18" i="22"/>
  <c r="M26" i="21"/>
  <c r="R26" i="21"/>
  <c r="H26" i="21"/>
  <c r="E6" i="32"/>
  <c r="E14" i="32"/>
  <c r="E16" i="32"/>
  <c r="E17" i="32"/>
  <c r="L18" i="22"/>
  <c r="I18" i="22"/>
  <c r="N18" i="22"/>
  <c r="O18" i="22"/>
  <c r="F26" i="21"/>
  <c r="K26" i="21"/>
  <c r="L26" i="21"/>
  <c r="G68" i="14"/>
  <c r="G57" i="14"/>
  <c r="P18" i="22"/>
  <c r="M18" i="22"/>
  <c r="D26" i="21"/>
  <c r="J26" i="21"/>
  <c r="O26" i="21"/>
  <c r="B6" i="32"/>
  <c r="B14" i="32"/>
  <c r="B16" i="32"/>
  <c r="B17" i="32"/>
  <c r="E57" i="14"/>
  <c r="D86" i="20"/>
  <c r="H20" i="16"/>
  <c r="K97" i="19"/>
  <c r="F97" i="19"/>
  <c r="N97" i="19"/>
  <c r="I105" i="19"/>
  <c r="D105" i="19"/>
  <c r="L105" i="19"/>
  <c r="E26" i="8"/>
  <c r="C98" i="27"/>
  <c r="C98" i="21"/>
  <c r="B103" i="26"/>
  <c r="M106" i="18"/>
  <c r="I106" i="18"/>
  <c r="E106" i="18"/>
  <c r="M104" i="18"/>
  <c r="I104" i="18"/>
  <c r="E104" i="18"/>
  <c r="M103" i="18"/>
  <c r="E103" i="18"/>
  <c r="O102" i="18"/>
  <c r="K102" i="18"/>
  <c r="F102" i="18"/>
  <c r="K101" i="18"/>
  <c r="I99" i="18"/>
  <c r="D98" i="18"/>
  <c r="D64" i="9"/>
  <c r="D18" i="16"/>
  <c r="E97" i="19"/>
  <c r="M97" i="19"/>
  <c r="H97" i="19"/>
  <c r="K105" i="19"/>
  <c r="F105" i="19"/>
  <c r="N105" i="19"/>
  <c r="C98" i="28"/>
  <c r="E60" i="9"/>
  <c r="C98" i="26"/>
  <c r="C98" i="20"/>
  <c r="B103" i="20"/>
  <c r="B103" i="27"/>
  <c r="L106" i="18"/>
  <c r="H106" i="18"/>
  <c r="L104" i="18"/>
  <c r="H104" i="18"/>
  <c r="N102" i="18"/>
  <c r="J102" i="18"/>
  <c r="D102" i="18"/>
  <c r="O99" i="18"/>
  <c r="G99" i="18"/>
  <c r="F63" i="9"/>
  <c r="G107" i="20"/>
  <c r="L20" i="16"/>
  <c r="G97" i="19"/>
  <c r="O97" i="19"/>
  <c r="E105" i="19"/>
  <c r="M105" i="19"/>
  <c r="C98" i="29"/>
  <c r="E56" i="9"/>
  <c r="B101" i="20"/>
  <c r="C98" i="17"/>
  <c r="C98" i="19"/>
  <c r="B103" i="21"/>
  <c r="B103" i="28"/>
  <c r="B103" i="19"/>
  <c r="M99" i="18"/>
  <c r="E99" i="18"/>
  <c r="N101" i="19"/>
  <c r="E101" i="19"/>
  <c r="H101" i="19"/>
  <c r="J101" i="19"/>
  <c r="D101" i="19"/>
  <c r="F101" i="19"/>
  <c r="L101" i="19"/>
  <c r="G101" i="19"/>
  <c r="M107" i="21"/>
  <c r="D107" i="21"/>
  <c r="J107" i="21"/>
  <c r="L103" i="20"/>
  <c r="D103" i="20"/>
  <c r="I103" i="20"/>
  <c r="J103" i="20"/>
  <c r="O103" i="20"/>
  <c r="G103" i="20"/>
  <c r="H103" i="20"/>
  <c r="M103" i="20"/>
  <c r="E103" i="20"/>
  <c r="N103" i="20"/>
  <c r="F103" i="20"/>
  <c r="K103" i="20"/>
  <c r="D105" i="18"/>
  <c r="H105" i="18"/>
  <c r="L105" i="18"/>
  <c r="E105" i="18"/>
  <c r="I105" i="18"/>
  <c r="M105" i="18"/>
  <c r="F105" i="18"/>
  <c r="J105" i="18"/>
  <c r="N105" i="18"/>
  <c r="G105" i="18"/>
  <c r="K105" i="18"/>
  <c r="O105" i="18"/>
  <c r="H97" i="22"/>
  <c r="M97" i="22"/>
  <c r="E97" i="22"/>
  <c r="N97" i="22"/>
  <c r="F97" i="22"/>
  <c r="K97" i="22"/>
  <c r="L97" i="22"/>
  <c r="D97" i="22"/>
  <c r="I97" i="22"/>
  <c r="J97" i="20"/>
  <c r="O97" i="20"/>
  <c r="G97" i="20"/>
  <c r="H97" i="20"/>
  <c r="M97" i="20"/>
  <c r="E97" i="20"/>
  <c r="N97" i="20"/>
  <c r="F97" i="20"/>
  <c r="K97" i="20"/>
  <c r="B101" i="18"/>
  <c r="B101" i="26"/>
  <c r="B101" i="21"/>
  <c r="B101" i="27"/>
  <c r="B101" i="22"/>
  <c r="B101" i="19"/>
  <c r="B101" i="28"/>
  <c r="B97" i="18"/>
  <c r="B97" i="19"/>
  <c r="B97" i="27"/>
  <c r="B97" i="22"/>
  <c r="B97" i="28"/>
  <c r="B97" i="29"/>
  <c r="B97" i="17"/>
  <c r="B97" i="20"/>
  <c r="F62" i="9"/>
  <c r="G24" i="8"/>
  <c r="G22" i="8"/>
  <c r="F60" i="9"/>
  <c r="G20" i="8"/>
  <c r="F58" i="9"/>
  <c r="F56" i="9"/>
  <c r="G18" i="8"/>
  <c r="F54" i="9"/>
  <c r="G16" i="8"/>
  <c r="B105" i="18"/>
  <c r="B105" i="29"/>
  <c r="B105" i="17"/>
  <c r="B105" i="20"/>
  <c r="B105" i="19"/>
  <c r="B105" i="26"/>
  <c r="B105" i="21"/>
  <c r="B105" i="27"/>
  <c r="B105" i="22"/>
  <c r="C99" i="18"/>
  <c r="C99" i="19"/>
  <c r="C99" i="28"/>
  <c r="C99" i="20"/>
  <c r="C99" i="21"/>
  <c r="C99" i="29"/>
  <c r="C99" i="26"/>
  <c r="C99" i="27"/>
  <c r="H21" i="8"/>
  <c r="H59" i="9"/>
  <c r="C103" i="18"/>
  <c r="C103" i="21"/>
  <c r="C103" i="17"/>
  <c r="C103" i="22"/>
  <c r="C103" i="28"/>
  <c r="D101" i="18"/>
  <c r="H101" i="18"/>
  <c r="L101" i="18"/>
  <c r="E101" i="18"/>
  <c r="I101" i="18"/>
  <c r="M101" i="18"/>
  <c r="F101" i="18"/>
  <c r="J101" i="18"/>
  <c r="N101" i="18"/>
  <c r="D97" i="18"/>
  <c r="H97" i="18"/>
  <c r="L97" i="18"/>
  <c r="E97" i="18"/>
  <c r="I97" i="18"/>
  <c r="M97" i="18"/>
  <c r="F97" i="18"/>
  <c r="J97" i="18"/>
  <c r="N97" i="18"/>
  <c r="F61" i="9"/>
  <c r="G23" i="8"/>
  <c r="F57" i="9"/>
  <c r="G19" i="8"/>
  <c r="F55" i="9"/>
  <c r="G17" i="8"/>
  <c r="L103" i="18"/>
  <c r="H103" i="18"/>
  <c r="D103" i="18"/>
  <c r="I102" i="18"/>
  <c r="L99" i="18"/>
  <c r="H99" i="18"/>
  <c r="D99" i="18"/>
  <c r="N103" i="18"/>
  <c r="J103" i="18"/>
  <c r="N99" i="18"/>
  <c r="J99" i="18"/>
  <c r="G72" i="18"/>
  <c r="H72" i="18"/>
  <c r="L72" i="18"/>
  <c r="E99" i="10"/>
  <c r="V99" i="10"/>
  <c r="E41" i="9"/>
  <c r="U99" i="10"/>
  <c r="E40" i="9"/>
  <c r="J99" i="10"/>
  <c r="H97" i="10"/>
  <c r="K97" i="10"/>
  <c r="M72" i="18"/>
  <c r="F72" i="18"/>
  <c r="M67" i="18"/>
  <c r="J56" i="18"/>
  <c r="O55" i="18"/>
  <c r="Q2" i="25"/>
  <c r="M75" i="18"/>
  <c r="G75" i="18"/>
  <c r="N56" i="18"/>
  <c r="D56" i="18"/>
  <c r="K56" i="18"/>
  <c r="J67" i="18"/>
  <c r="U101" i="10"/>
  <c r="K67" i="18"/>
  <c r="O67" i="18"/>
  <c r="N67" i="18"/>
  <c r="H67" i="18"/>
  <c r="E67" i="18"/>
  <c r="L67" i="18"/>
  <c r="I67" i="18"/>
  <c r="G67" i="18"/>
  <c r="F67" i="18"/>
  <c r="K72" i="18"/>
  <c r="E72" i="18"/>
  <c r="J72" i="18"/>
  <c r="I72" i="18"/>
  <c r="N72" i="18"/>
  <c r="M74" i="18"/>
  <c r="E23" i="9"/>
  <c r="F69" i="19"/>
  <c r="H101" i="1"/>
  <c r="F99" i="10"/>
  <c r="P13" i="1"/>
  <c r="L70" i="18"/>
  <c r="N71" i="18"/>
  <c r="P8" i="25"/>
  <c r="M17" i="1"/>
  <c r="M61" i="18"/>
  <c r="J61" i="18"/>
  <c r="E20" i="9"/>
  <c r="O66" i="19"/>
  <c r="E57" i="18"/>
  <c r="I56" i="18"/>
  <c r="K4" i="25"/>
  <c r="R4" i="25"/>
  <c r="F56" i="18"/>
  <c r="H56" i="18"/>
  <c r="M56" i="18"/>
  <c r="K69" i="18"/>
  <c r="E56" i="18"/>
  <c r="O56" i="18"/>
  <c r="L56" i="18"/>
  <c r="L69" i="18"/>
  <c r="G69" i="18"/>
  <c r="E97" i="12"/>
  <c r="E99" i="12"/>
  <c r="E99" i="11"/>
  <c r="J99" i="12"/>
  <c r="J7" i="13"/>
  <c r="J99" i="13"/>
  <c r="T2" i="12"/>
  <c r="F97" i="12"/>
  <c r="H97" i="12"/>
  <c r="K97" i="12"/>
  <c r="H97" i="11"/>
  <c r="K97" i="11"/>
  <c r="I99" i="10"/>
  <c r="E13" i="9"/>
  <c r="L59" i="19"/>
  <c r="V101" i="10"/>
  <c r="J101" i="10"/>
  <c r="I101" i="10"/>
  <c r="J99" i="11"/>
  <c r="L67" i="19"/>
  <c r="G75" i="19"/>
  <c r="F101" i="10"/>
  <c r="D62" i="18"/>
  <c r="E16" i="9"/>
  <c r="E24" i="9"/>
  <c r="I70" i="19"/>
  <c r="E60" i="18"/>
  <c r="H60" i="18"/>
  <c r="F60" i="18"/>
  <c r="O12" i="1"/>
  <c r="F99" i="11"/>
  <c r="J57" i="18"/>
  <c r="D57" i="18"/>
  <c r="O75" i="18"/>
  <c r="I69" i="18"/>
  <c r="E69" i="18"/>
  <c r="N70" i="18"/>
  <c r="L75" i="18"/>
  <c r="F75" i="18"/>
  <c r="M69" i="18"/>
  <c r="J69" i="18"/>
  <c r="H57" i="18"/>
  <c r="M70" i="18"/>
  <c r="E75" i="18"/>
  <c r="H69" i="18"/>
  <c r="F69" i="18"/>
  <c r="N69" i="18"/>
  <c r="O69" i="18"/>
  <c r="F66" i="18"/>
  <c r="H7" i="25"/>
  <c r="K59" i="18"/>
  <c r="M5" i="25"/>
  <c r="O57" i="18"/>
  <c r="O74" i="18"/>
  <c r="I57" i="18"/>
  <c r="N59" i="18"/>
  <c r="P5" i="25"/>
  <c r="E59" i="18"/>
  <c r="G5" i="25"/>
  <c r="D59" i="18"/>
  <c r="F5" i="25"/>
  <c r="G7" i="13"/>
  <c r="J59" i="18"/>
  <c r="L5" i="25"/>
  <c r="I70" i="18"/>
  <c r="H70" i="18"/>
  <c r="L59" i="18"/>
  <c r="N5" i="25"/>
  <c r="G70" i="18"/>
  <c r="J70" i="18"/>
  <c r="D70" i="18"/>
  <c r="K70" i="18"/>
  <c r="O70" i="18"/>
  <c r="F70" i="18"/>
  <c r="H59" i="18"/>
  <c r="J5" i="25"/>
  <c r="M59" i="18"/>
  <c r="O5" i="25"/>
  <c r="F59" i="18"/>
  <c r="H5" i="25"/>
  <c r="I59" i="18"/>
  <c r="K5" i="25"/>
  <c r="O59" i="18"/>
  <c r="Q5" i="25"/>
  <c r="D75" i="18"/>
  <c r="J75" i="18"/>
  <c r="K75" i="18"/>
  <c r="I75" i="18"/>
  <c r="H75" i="18"/>
  <c r="F61" i="18"/>
  <c r="E61" i="18"/>
  <c r="N61" i="18"/>
  <c r="G61" i="18"/>
  <c r="K61" i="18"/>
  <c r="D61" i="18"/>
  <c r="I61" i="18"/>
  <c r="L61" i="18"/>
  <c r="O61" i="18"/>
  <c r="B7" i="12"/>
  <c r="G60" i="18"/>
  <c r="R6" i="25"/>
  <c r="M60" i="18"/>
  <c r="K60" i="18"/>
  <c r="O60" i="18"/>
  <c r="D60" i="18"/>
  <c r="N60" i="18"/>
  <c r="L60" i="18"/>
  <c r="J60" i="18"/>
  <c r="D74" i="18"/>
  <c r="J74" i="18"/>
  <c r="H74" i="18"/>
  <c r="K74" i="18"/>
  <c r="G74" i="18"/>
  <c r="I74" i="18"/>
  <c r="F74" i="18"/>
  <c r="N74" i="18"/>
  <c r="L74" i="18"/>
  <c r="E62" i="18"/>
  <c r="J62" i="18"/>
  <c r="I62" i="18"/>
  <c r="K62" i="18"/>
  <c r="H62" i="18"/>
  <c r="O62" i="18"/>
  <c r="L62" i="18"/>
  <c r="N62" i="18"/>
  <c r="F62" i="18"/>
  <c r="M62" i="18"/>
  <c r="M57" i="18"/>
  <c r="K57" i="18"/>
  <c r="L57" i="18"/>
  <c r="F57" i="18"/>
  <c r="G57" i="18"/>
  <c r="M13" i="1"/>
  <c r="E22" i="9"/>
  <c r="E27" i="9"/>
  <c r="E10" i="9"/>
  <c r="O16" i="1"/>
  <c r="O161" i="19"/>
  <c r="K161" i="19"/>
  <c r="K163" i="19"/>
  <c r="G161" i="19"/>
  <c r="G163" i="19"/>
  <c r="L161" i="19"/>
  <c r="H161" i="19"/>
  <c r="H163" i="19"/>
  <c r="D161" i="19"/>
  <c r="M161" i="19"/>
  <c r="M163" i="19"/>
  <c r="I161" i="19"/>
  <c r="I163" i="19"/>
  <c r="E161" i="19"/>
  <c r="E163" i="19"/>
  <c r="L163" i="19"/>
  <c r="N161" i="19"/>
  <c r="N163" i="19"/>
  <c r="J161" i="19"/>
  <c r="J163" i="19"/>
  <c r="F161" i="19"/>
  <c r="F163" i="19"/>
  <c r="E160" i="22"/>
  <c r="K160" i="22"/>
  <c r="L160" i="22"/>
  <c r="N160" i="21"/>
  <c r="J160" i="21"/>
  <c r="F160" i="21"/>
  <c r="G160" i="22"/>
  <c r="M160" i="22"/>
  <c r="F160" i="22"/>
  <c r="N160" i="22"/>
  <c r="M160" i="21"/>
  <c r="I160" i="21"/>
  <c r="E160" i="21"/>
  <c r="O160" i="22"/>
  <c r="D160" i="22"/>
  <c r="L160" i="21"/>
  <c r="S130" i="26"/>
  <c r="N130" i="28"/>
  <c r="M130" i="28"/>
  <c r="L130" i="28"/>
  <c r="K130" i="28"/>
  <c r="I130" i="29"/>
  <c r="S130" i="27"/>
  <c r="J131" i="28"/>
  <c r="G131" i="28"/>
  <c r="K131" i="28"/>
  <c r="O131" i="28"/>
  <c r="E131" i="28"/>
  <c r="I131" i="28"/>
  <c r="M131" i="20"/>
  <c r="M131" i="28"/>
  <c r="F131" i="28"/>
  <c r="N131" i="28"/>
  <c r="H131" i="28"/>
  <c r="L131" i="28"/>
  <c r="I131" i="19"/>
  <c r="N131" i="19"/>
  <c r="G131" i="19"/>
  <c r="J131" i="19"/>
  <c r="K131" i="19"/>
  <c r="S131" i="26"/>
  <c r="O131" i="19"/>
  <c r="M131" i="19"/>
  <c r="L131" i="19"/>
  <c r="D131" i="29"/>
  <c r="S131" i="27"/>
  <c r="K126" i="28"/>
  <c r="O126" i="28"/>
  <c r="H126" i="28"/>
  <c r="L126" i="28"/>
  <c r="I126" i="28"/>
  <c r="M126" i="28"/>
  <c r="J126" i="28"/>
  <c r="N126" i="28"/>
  <c r="S126" i="18"/>
  <c r="K126" i="19"/>
  <c r="G126" i="28"/>
  <c r="G126" i="19"/>
  <c r="F126" i="28"/>
  <c r="F126" i="20"/>
  <c r="E126" i="28"/>
  <c r="S126" i="27"/>
  <c r="D126" i="20"/>
  <c r="D126" i="28"/>
  <c r="S126" i="26"/>
  <c r="N123" i="19"/>
  <c r="K123" i="19"/>
  <c r="F123" i="19"/>
  <c r="D123" i="19"/>
  <c r="E123" i="19"/>
  <c r="G123" i="19"/>
  <c r="O123" i="19"/>
  <c r="M112" i="29"/>
  <c r="L112" i="27"/>
  <c r="K112" i="29"/>
  <c r="S112" i="18"/>
  <c r="J112" i="29"/>
  <c r="I112" i="29"/>
  <c r="H112" i="29"/>
  <c r="G112" i="29"/>
  <c r="F112" i="29"/>
  <c r="D112" i="29"/>
  <c r="S112" i="27"/>
  <c r="G107" i="29"/>
  <c r="G107" i="21"/>
  <c r="F107" i="29"/>
  <c r="S107" i="28"/>
  <c r="F107" i="21"/>
  <c r="S107" i="27"/>
  <c r="F107" i="20"/>
  <c r="J94" i="28"/>
  <c r="J94" i="19"/>
  <c r="H94" i="28"/>
  <c r="S94" i="27"/>
  <c r="F94" i="28"/>
  <c r="S94" i="26"/>
  <c r="F94" i="19"/>
  <c r="L93" i="29"/>
  <c r="H93" i="29"/>
  <c r="G93" i="29"/>
  <c r="S93" i="28"/>
  <c r="F93" i="29"/>
  <c r="S93" i="27"/>
  <c r="S92" i="29"/>
  <c r="S92" i="28"/>
  <c r="S91" i="27"/>
  <c r="F91" i="28"/>
  <c r="O73" i="28"/>
  <c r="N73" i="29"/>
  <c r="D73" i="28"/>
  <c r="S73" i="27"/>
  <c r="S55" i="27"/>
  <c r="P55" i="28"/>
  <c r="P55" i="29"/>
  <c r="S55" i="29"/>
  <c r="Q44" i="27"/>
  <c r="S44" i="27"/>
  <c r="F44" i="20"/>
  <c r="F44" i="28"/>
  <c r="G44" i="28"/>
  <c r="G44" i="20"/>
  <c r="F44" i="19"/>
  <c r="G44" i="19"/>
  <c r="R47" i="25"/>
  <c r="N19" i="28"/>
  <c r="S19" i="27"/>
  <c r="S19" i="18"/>
  <c r="S19" i="28"/>
  <c r="Q18" i="20"/>
  <c r="Q18" i="28"/>
  <c r="S18" i="27"/>
  <c r="S18" i="28"/>
  <c r="Q26" i="20"/>
  <c r="Q26" i="28"/>
  <c r="G26" i="28"/>
  <c r="S26" i="27"/>
  <c r="G26" i="20"/>
  <c r="I72" i="19"/>
  <c r="S72" i="26"/>
  <c r="I72" i="28"/>
  <c r="M72" i="28"/>
  <c r="S72" i="27"/>
  <c r="F72" i="28"/>
  <c r="J72" i="28"/>
  <c r="N72" i="28"/>
  <c r="G72" i="28"/>
  <c r="K72" i="28"/>
  <c r="O72" i="28"/>
  <c r="H72" i="28"/>
  <c r="L72" i="28"/>
  <c r="I60" i="28"/>
  <c r="S60" i="28"/>
  <c r="G60" i="29"/>
  <c r="S60" i="27"/>
  <c r="I56" i="29"/>
  <c r="G56" i="28"/>
  <c r="S56" i="27"/>
  <c r="S56" i="26"/>
  <c r="S128" i="26"/>
  <c r="E128" i="27"/>
  <c r="D128" i="29"/>
  <c r="S154" i="20"/>
  <c r="G154" i="19"/>
  <c r="F154" i="19"/>
  <c r="E154" i="19"/>
  <c r="M154" i="19"/>
  <c r="I154" i="19"/>
  <c r="I154" i="21"/>
  <c r="M154" i="21"/>
  <c r="K154" i="21"/>
  <c r="H154" i="21"/>
  <c r="E154" i="21"/>
  <c r="L154" i="22"/>
  <c r="F7" i="32"/>
  <c r="R35" i="25"/>
  <c r="D6" i="32"/>
  <c r="G41" i="8"/>
  <c r="G79" i="9"/>
  <c r="F79" i="9"/>
  <c r="K19" i="19"/>
  <c r="M19" i="19"/>
  <c r="O19" i="19"/>
  <c r="I19" i="19"/>
  <c r="F68" i="9"/>
  <c r="M112" i="20"/>
  <c r="I22" i="29"/>
  <c r="S22" i="29"/>
  <c r="S22" i="28"/>
  <c r="S14" i="28"/>
  <c r="E14" i="29"/>
  <c r="S14" i="29"/>
  <c r="R31" i="25"/>
  <c r="O126" i="20"/>
  <c r="F82" i="9"/>
  <c r="G38" i="8"/>
  <c r="G76" i="9"/>
  <c r="J18" i="25"/>
  <c r="R19" i="19"/>
  <c r="P19" i="19"/>
  <c r="H19" i="19"/>
  <c r="Q19" i="19"/>
  <c r="F19" i="19"/>
  <c r="D19" i="19"/>
  <c r="E19" i="19"/>
  <c r="N19" i="19"/>
  <c r="L19" i="19"/>
  <c r="Q27" i="21"/>
  <c r="Q27" i="29"/>
  <c r="Q27" i="22"/>
  <c r="P27" i="21"/>
  <c r="P27" i="29"/>
  <c r="P27" i="22"/>
  <c r="L27" i="29"/>
  <c r="L27" i="22"/>
  <c r="L27" i="21"/>
  <c r="K27" i="29"/>
  <c r="K27" i="22"/>
  <c r="K27" i="21"/>
  <c r="I27" i="29"/>
  <c r="I27" i="22"/>
  <c r="I27" i="21"/>
  <c r="S27" i="20"/>
  <c r="S27" i="28"/>
  <c r="G27" i="29"/>
  <c r="G27" i="22"/>
  <c r="G27" i="21"/>
  <c r="E27" i="21"/>
  <c r="E27" i="29"/>
  <c r="E27" i="22"/>
  <c r="D27" i="22"/>
  <c r="I139" i="19"/>
  <c r="H139" i="19"/>
  <c r="O136" i="19"/>
  <c r="O141" i="20"/>
  <c r="M136" i="19"/>
  <c r="L141" i="20"/>
  <c r="E136" i="19"/>
  <c r="O142" i="19"/>
  <c r="D139" i="19"/>
  <c r="J136" i="19"/>
  <c r="J141" i="20"/>
  <c r="M141" i="20"/>
  <c r="F136" i="19"/>
  <c r="D136" i="19"/>
  <c r="G142" i="19"/>
  <c r="H142" i="19"/>
  <c r="F139" i="19"/>
  <c r="H136" i="19"/>
  <c r="K136" i="19"/>
  <c r="N136" i="19"/>
  <c r="L136" i="19"/>
  <c r="M137" i="19"/>
  <c r="J137" i="19"/>
  <c r="G143" i="19"/>
  <c r="D143" i="19"/>
  <c r="F143" i="19"/>
  <c r="K143" i="19"/>
  <c r="L140" i="19"/>
  <c r="H140" i="19"/>
  <c r="I140" i="19"/>
  <c r="M140" i="19"/>
  <c r="D140" i="19"/>
  <c r="E140" i="19"/>
  <c r="F140" i="19"/>
  <c r="G140" i="19"/>
  <c r="N140" i="19"/>
  <c r="J140" i="19"/>
  <c r="K140" i="19"/>
  <c r="O140" i="19"/>
  <c r="K137" i="19"/>
  <c r="N137" i="19"/>
  <c r="K135" i="20"/>
  <c r="H137" i="19"/>
  <c r="I137" i="19"/>
  <c r="H143" i="19"/>
  <c r="O143" i="19"/>
  <c r="G55" i="8"/>
  <c r="O135" i="20"/>
  <c r="L143" i="19"/>
  <c r="J143" i="19"/>
  <c r="D142" i="19"/>
  <c r="L142" i="19"/>
  <c r="I142" i="19"/>
  <c r="K142" i="19"/>
  <c r="J142" i="19"/>
  <c r="F142" i="19"/>
  <c r="N142" i="19"/>
  <c r="G137" i="19"/>
  <c r="D137" i="19"/>
  <c r="G54" i="8"/>
  <c r="G53" i="8"/>
  <c r="L136" i="20"/>
  <c r="N92" i="19"/>
  <c r="M92" i="19"/>
  <c r="J126" i="20"/>
  <c r="I126" i="20"/>
  <c r="K126" i="20"/>
  <c r="N16" i="25"/>
  <c r="L102" i="19"/>
  <c r="E102" i="19"/>
  <c r="I99" i="19"/>
  <c r="M99" i="19"/>
  <c r="K16" i="25"/>
  <c r="L19" i="25"/>
  <c r="I19" i="25"/>
  <c r="G19" i="25"/>
  <c r="G107" i="22"/>
  <c r="E126" i="20"/>
  <c r="H126" i="20"/>
  <c r="K131" i="20"/>
  <c r="K19" i="25"/>
  <c r="P19" i="25"/>
  <c r="N19" i="25"/>
  <c r="E125" i="19"/>
  <c r="N18" i="25"/>
  <c r="M18" i="25"/>
  <c r="F125" i="19"/>
  <c r="L139" i="19"/>
  <c r="E139" i="19"/>
  <c r="K102" i="19"/>
  <c r="M102" i="19"/>
  <c r="K18" i="25"/>
  <c r="O18" i="25"/>
  <c r="K106" i="19"/>
  <c r="G106" i="19"/>
  <c r="J99" i="19"/>
  <c r="E99" i="19"/>
  <c r="S96" i="18"/>
  <c r="S151" i="20"/>
  <c r="G126" i="20"/>
  <c r="N126" i="20"/>
  <c r="M126" i="20"/>
  <c r="L126" i="20"/>
  <c r="O131" i="20"/>
  <c r="G131" i="20"/>
  <c r="D72" i="19"/>
  <c r="O72" i="19"/>
  <c r="L16" i="25"/>
  <c r="J19" i="25"/>
  <c r="H19" i="25"/>
  <c r="F19" i="25"/>
  <c r="O102" i="19"/>
  <c r="L18" i="25"/>
  <c r="K139" i="19"/>
  <c r="I102" i="19"/>
  <c r="F102" i="19"/>
  <c r="H102" i="19"/>
  <c r="D120" i="20"/>
  <c r="F103" i="19"/>
  <c r="H139" i="20"/>
  <c r="N139" i="20"/>
  <c r="D139" i="20"/>
  <c r="O138" i="19"/>
  <c r="G138" i="19"/>
  <c r="M138" i="19"/>
  <c r="J138" i="19"/>
  <c r="H138" i="19"/>
  <c r="E138" i="19"/>
  <c r="G45" i="8"/>
  <c r="G83" i="9"/>
  <c r="I135" i="20"/>
  <c r="F135" i="20"/>
  <c r="H135" i="20"/>
  <c r="D143" i="20"/>
  <c r="I120" i="20"/>
  <c r="I138" i="19"/>
  <c r="F138" i="19"/>
  <c r="L106" i="19"/>
  <c r="J106" i="19"/>
  <c r="K95" i="20"/>
  <c r="J135" i="20"/>
  <c r="D135" i="20"/>
  <c r="N135" i="20"/>
  <c r="L143" i="20"/>
  <c r="D138" i="19"/>
  <c r="N138" i="19"/>
  <c r="G58" i="8"/>
  <c r="M106" i="19"/>
  <c r="M153" i="22"/>
  <c r="E153" i="22"/>
  <c r="H153" i="22"/>
  <c r="D153" i="22"/>
  <c r="K153" i="22"/>
  <c r="N153" i="22"/>
  <c r="F153" i="22"/>
  <c r="G153" i="22"/>
  <c r="O153" i="22"/>
  <c r="L153" i="22"/>
  <c r="J153" i="22"/>
  <c r="I153" i="22"/>
  <c r="L99" i="19"/>
  <c r="F99" i="19"/>
  <c r="K99" i="19"/>
  <c r="N99" i="19"/>
  <c r="G135" i="20"/>
  <c r="L135" i="20"/>
  <c r="E135" i="20"/>
  <c r="N143" i="20"/>
  <c r="F120" i="20"/>
  <c r="L138" i="19"/>
  <c r="O139" i="19"/>
  <c r="G139" i="19"/>
  <c r="J139" i="19"/>
  <c r="F116" i="19"/>
  <c r="I18" i="25"/>
  <c r="H94" i="20"/>
  <c r="M94" i="21"/>
  <c r="K94" i="21"/>
  <c r="D133" i="19"/>
  <c r="N133" i="19"/>
  <c r="I129" i="20"/>
  <c r="F117" i="19"/>
  <c r="K116" i="19"/>
  <c r="G116" i="19"/>
  <c r="I116" i="19"/>
  <c r="L116" i="19"/>
  <c r="J116" i="19"/>
  <c r="M116" i="19"/>
  <c r="K112" i="20"/>
  <c r="G30" i="8"/>
  <c r="G68" i="9"/>
  <c r="H13" i="8"/>
  <c r="H51" i="9"/>
  <c r="M95" i="22"/>
  <c r="F15" i="15"/>
  <c r="G15" i="15"/>
  <c r="G72" i="19"/>
  <c r="K72" i="19"/>
  <c r="H72" i="19"/>
  <c r="N72" i="19"/>
  <c r="F72" i="19"/>
  <c r="E72" i="19"/>
  <c r="M72" i="19"/>
  <c r="J72" i="19"/>
  <c r="H18" i="25"/>
  <c r="R20" i="25"/>
  <c r="K107" i="22"/>
  <c r="S98" i="18"/>
  <c r="S153" i="19"/>
  <c r="S153" i="20"/>
  <c r="I139" i="20"/>
  <c r="F139" i="20"/>
  <c r="S133" i="18"/>
  <c r="G131" i="21"/>
  <c r="D141" i="20"/>
  <c r="E141" i="20"/>
  <c r="F141" i="20"/>
  <c r="I141" i="20"/>
  <c r="H58" i="8"/>
  <c r="H60" i="8"/>
  <c r="H98" i="9"/>
  <c r="H59" i="8"/>
  <c r="H61" i="8"/>
  <c r="G139" i="20"/>
  <c r="J139" i="20"/>
  <c r="O139" i="20"/>
  <c r="H131" i="20"/>
  <c r="F131" i="20"/>
  <c r="I131" i="20"/>
  <c r="L139" i="20"/>
  <c r="E139" i="20"/>
  <c r="H56" i="8"/>
  <c r="H57" i="8"/>
  <c r="H143" i="20"/>
  <c r="G143" i="20"/>
  <c r="J143" i="20"/>
  <c r="I143" i="20"/>
  <c r="L131" i="20"/>
  <c r="N131" i="20"/>
  <c r="E131" i="20"/>
  <c r="J131" i="20"/>
  <c r="K139" i="20"/>
  <c r="M139" i="20"/>
  <c r="E143" i="20"/>
  <c r="F143" i="20"/>
  <c r="K143" i="20"/>
  <c r="H137" i="20"/>
  <c r="E137" i="20"/>
  <c r="M137" i="20"/>
  <c r="N136" i="20"/>
  <c r="K136" i="20"/>
  <c r="D136" i="20"/>
  <c r="J136" i="20"/>
  <c r="G136" i="20"/>
  <c r="E136" i="20"/>
  <c r="H138" i="20"/>
  <c r="G138" i="20"/>
  <c r="D138" i="20"/>
  <c r="M138" i="20"/>
  <c r="L138" i="20"/>
  <c r="K138" i="20"/>
  <c r="J138" i="20"/>
  <c r="F138" i="20"/>
  <c r="O138" i="20"/>
  <c r="I138" i="20"/>
  <c r="E138" i="20"/>
  <c r="N138" i="20"/>
  <c r="H62" i="8"/>
  <c r="H41" i="8"/>
  <c r="H79" i="9"/>
  <c r="G120" i="20"/>
  <c r="L120" i="20"/>
  <c r="E120" i="20"/>
  <c r="G31" i="8"/>
  <c r="G69" i="9"/>
  <c r="K120" i="20"/>
  <c r="N120" i="20"/>
  <c r="G37" i="8"/>
  <c r="G75" i="9"/>
  <c r="E120" i="21"/>
  <c r="R51" i="25"/>
  <c r="I103" i="19"/>
  <c r="N103" i="19"/>
  <c r="G103" i="19"/>
  <c r="L103" i="19"/>
  <c r="S100" i="18"/>
  <c r="E103" i="19"/>
  <c r="O103" i="19"/>
  <c r="S106" i="18"/>
  <c r="K103" i="19"/>
  <c r="M103" i="19"/>
  <c r="F9" i="9"/>
  <c r="N56" i="20"/>
  <c r="F112" i="20"/>
  <c r="J112" i="20"/>
  <c r="D112" i="20"/>
  <c r="H112" i="20"/>
  <c r="G112" i="20"/>
  <c r="I112" i="20"/>
  <c r="E117" i="19"/>
  <c r="B97" i="12"/>
  <c r="F12" i="9"/>
  <c r="F29" i="9"/>
  <c r="F14" i="9"/>
  <c r="I60" i="20"/>
  <c r="F21" i="9"/>
  <c r="N67" i="20"/>
  <c r="F26" i="9"/>
  <c r="F28" i="9"/>
  <c r="H38" i="8"/>
  <c r="H76" i="9"/>
  <c r="G42" i="8"/>
  <c r="G80" i="9"/>
  <c r="I122" i="19"/>
  <c r="K125" i="19"/>
  <c r="I125" i="19"/>
  <c r="H129" i="20"/>
  <c r="E129" i="20"/>
  <c r="J133" i="19"/>
  <c r="G133" i="19"/>
  <c r="F120" i="21"/>
  <c r="E131" i="19"/>
  <c r="F131" i="19"/>
  <c r="J133" i="20"/>
  <c r="L133" i="20"/>
  <c r="F133" i="20"/>
  <c r="E133" i="20"/>
  <c r="H134" i="21"/>
  <c r="M134" i="21"/>
  <c r="E134" i="21"/>
  <c r="J134" i="21"/>
  <c r="N134" i="21"/>
  <c r="F134" i="21"/>
  <c r="K134" i="21"/>
  <c r="G134" i="21"/>
  <c r="L134" i="21"/>
  <c r="D134" i="21"/>
  <c r="I134" i="21"/>
  <c r="O134" i="21"/>
  <c r="H133" i="21"/>
  <c r="M133" i="21"/>
  <c r="E133" i="21"/>
  <c r="O133" i="21"/>
  <c r="N133" i="21"/>
  <c r="F133" i="21"/>
  <c r="K133" i="21"/>
  <c r="G133" i="21"/>
  <c r="L133" i="21"/>
  <c r="D133" i="21"/>
  <c r="I133" i="21"/>
  <c r="J133" i="21"/>
  <c r="E122" i="19"/>
  <c r="O122" i="19"/>
  <c r="M125" i="19"/>
  <c r="D129" i="20"/>
  <c r="N129" i="20"/>
  <c r="I133" i="19"/>
  <c r="L120" i="21"/>
  <c r="N134" i="19"/>
  <c r="F134" i="19"/>
  <c r="K134" i="19"/>
  <c r="H134" i="19"/>
  <c r="L134" i="19"/>
  <c r="D134" i="19"/>
  <c r="I134" i="19"/>
  <c r="E134" i="19"/>
  <c r="J134" i="19"/>
  <c r="O134" i="19"/>
  <c r="G134" i="19"/>
  <c r="M134" i="19"/>
  <c r="L133" i="19"/>
  <c r="F133" i="19"/>
  <c r="E133" i="19"/>
  <c r="O133" i="19"/>
  <c r="J122" i="19"/>
  <c r="K122" i="19"/>
  <c r="G122" i="19"/>
  <c r="G125" i="19"/>
  <c r="H125" i="19"/>
  <c r="L129" i="20"/>
  <c r="K129" i="20"/>
  <c r="K133" i="19"/>
  <c r="M133" i="19"/>
  <c r="N120" i="21"/>
  <c r="G129" i="19"/>
  <c r="E129" i="19"/>
  <c r="F129" i="19"/>
  <c r="K129" i="19"/>
  <c r="D129" i="19"/>
  <c r="M129" i="19"/>
  <c r="J129" i="19"/>
  <c r="N129" i="19"/>
  <c r="I129" i="19"/>
  <c r="H129" i="19"/>
  <c r="L129" i="19"/>
  <c r="O129" i="19"/>
  <c r="H134" i="20"/>
  <c r="M134" i="20"/>
  <c r="E134" i="20"/>
  <c r="O134" i="20"/>
  <c r="N134" i="20"/>
  <c r="F134" i="20"/>
  <c r="K134" i="20"/>
  <c r="G134" i="20"/>
  <c r="L134" i="20"/>
  <c r="D134" i="20"/>
  <c r="I134" i="20"/>
  <c r="J134" i="20"/>
  <c r="G32" i="8"/>
  <c r="G70" i="9"/>
  <c r="G40" i="8"/>
  <c r="H40" i="8"/>
  <c r="H78" i="9"/>
  <c r="O117" i="19"/>
  <c r="G117" i="19"/>
  <c r="D116" i="19"/>
  <c r="E116" i="19"/>
  <c r="N116" i="19"/>
  <c r="O113" i="19"/>
  <c r="K113" i="19"/>
  <c r="M113" i="19"/>
  <c r="G113" i="19"/>
  <c r="D113" i="19"/>
  <c r="J113" i="19"/>
  <c r="I113" i="19"/>
  <c r="N113" i="19"/>
  <c r="E113" i="19"/>
  <c r="L113" i="19"/>
  <c r="F113" i="19"/>
  <c r="H113" i="19"/>
  <c r="O119" i="19"/>
  <c r="G119" i="19"/>
  <c r="I119" i="19"/>
  <c r="M119" i="19"/>
  <c r="D119" i="19"/>
  <c r="E119" i="19"/>
  <c r="F119" i="19"/>
  <c r="H119" i="19"/>
  <c r="L119" i="19"/>
  <c r="N119" i="19"/>
  <c r="J119" i="19"/>
  <c r="K119" i="19"/>
  <c r="K117" i="19"/>
  <c r="I117" i="19"/>
  <c r="F126" i="19"/>
  <c r="O126" i="19"/>
  <c r="D126" i="19"/>
  <c r="M117" i="19"/>
  <c r="N117" i="19"/>
  <c r="G33" i="8"/>
  <c r="G71" i="9"/>
  <c r="M116" i="20"/>
  <c r="H120" i="20"/>
  <c r="M120" i="20"/>
  <c r="O120" i="20"/>
  <c r="J126" i="19"/>
  <c r="E126" i="19"/>
  <c r="M126" i="19"/>
  <c r="E118" i="19"/>
  <c r="O118" i="19"/>
  <c r="J118" i="19"/>
  <c r="K118" i="19"/>
  <c r="F118" i="19"/>
  <c r="L118" i="19"/>
  <c r="D118" i="19"/>
  <c r="I118" i="19"/>
  <c r="H118" i="19"/>
  <c r="M118" i="19"/>
  <c r="G118" i="19"/>
  <c r="N118" i="19"/>
  <c r="N126" i="19"/>
  <c r="H126" i="19"/>
  <c r="L126" i="19"/>
  <c r="D111" i="19"/>
  <c r="G43" i="8"/>
  <c r="G81" i="9"/>
  <c r="J117" i="19"/>
  <c r="L117" i="19"/>
  <c r="S111" i="18"/>
  <c r="N125" i="19"/>
  <c r="L125" i="19"/>
  <c r="L122" i="19"/>
  <c r="N122" i="19"/>
  <c r="O114" i="19"/>
  <c r="I114" i="19"/>
  <c r="J114" i="19"/>
  <c r="N114" i="19"/>
  <c r="K114" i="19"/>
  <c r="D114" i="19"/>
  <c r="L114" i="19"/>
  <c r="G114" i="19"/>
  <c r="H114" i="19"/>
  <c r="M114" i="19"/>
  <c r="E114" i="19"/>
  <c r="F114" i="19"/>
  <c r="E121" i="20"/>
  <c r="G39" i="8"/>
  <c r="G77" i="9"/>
  <c r="D122" i="21"/>
  <c r="D120" i="21"/>
  <c r="J120" i="21"/>
  <c r="G120" i="21"/>
  <c r="M120" i="21"/>
  <c r="I107" i="22"/>
  <c r="K107" i="21"/>
  <c r="M107" i="22"/>
  <c r="O107" i="19"/>
  <c r="L107" i="19"/>
  <c r="M107" i="19"/>
  <c r="I107" i="19"/>
  <c r="F95" i="20"/>
  <c r="M95" i="20"/>
  <c r="H95" i="20"/>
  <c r="J95" i="22"/>
  <c r="D95" i="20"/>
  <c r="E95" i="20"/>
  <c r="S46" i="21"/>
  <c r="F94" i="20"/>
  <c r="K92" i="19"/>
  <c r="G94" i="21"/>
  <c r="N94" i="21"/>
  <c r="S151" i="19"/>
  <c r="S141" i="18"/>
  <c r="O108" i="18"/>
  <c r="S104" i="18"/>
  <c r="O94" i="21"/>
  <c r="S147" i="22"/>
  <c r="S123" i="18"/>
  <c r="S131" i="18"/>
  <c r="N107" i="21"/>
  <c r="G92" i="19"/>
  <c r="J92" i="19"/>
  <c r="S94" i="18"/>
  <c r="S137" i="18"/>
  <c r="R30" i="25"/>
  <c r="S135" i="18"/>
  <c r="S142" i="20"/>
  <c r="O129" i="20"/>
  <c r="G129" i="20"/>
  <c r="J129" i="20"/>
  <c r="M123" i="19"/>
  <c r="I107" i="21"/>
  <c r="N107" i="22"/>
  <c r="J107" i="22"/>
  <c r="E107" i="22"/>
  <c r="S153" i="18"/>
  <c r="H50" i="25"/>
  <c r="H107" i="22"/>
  <c r="D107" i="22"/>
  <c r="J122" i="21"/>
  <c r="L107" i="22"/>
  <c r="L122" i="21"/>
  <c r="G127" i="19"/>
  <c r="S147" i="18"/>
  <c r="S120" i="18"/>
  <c r="F127" i="19"/>
  <c r="M127" i="19"/>
  <c r="D127" i="19"/>
  <c r="H127" i="19"/>
  <c r="N127" i="19"/>
  <c r="R32" i="25"/>
  <c r="F122" i="21"/>
  <c r="S121" i="18"/>
  <c r="F28" i="25"/>
  <c r="P28" i="25"/>
  <c r="S125" i="18"/>
  <c r="S132" i="18"/>
  <c r="S132" i="19"/>
  <c r="S136" i="18"/>
  <c r="S143" i="18"/>
  <c r="S151" i="21"/>
  <c r="S134" i="18"/>
  <c r="N34" i="25"/>
  <c r="N23" i="25"/>
  <c r="D107" i="20"/>
  <c r="S140" i="18"/>
  <c r="S151" i="18"/>
  <c r="N107" i="20"/>
  <c r="S138" i="18"/>
  <c r="S120" i="19"/>
  <c r="S139" i="18"/>
  <c r="S142" i="18"/>
  <c r="S153" i="21"/>
  <c r="O111" i="19"/>
  <c r="G111" i="19"/>
  <c r="I107" i="20"/>
  <c r="M107" i="20"/>
  <c r="E107" i="21"/>
  <c r="H107" i="21"/>
  <c r="L107" i="21"/>
  <c r="F96" i="20"/>
  <c r="D96" i="20"/>
  <c r="L96" i="20"/>
  <c r="M96" i="20"/>
  <c r="J96" i="20"/>
  <c r="H96" i="20"/>
  <c r="O96" i="20"/>
  <c r="G96" i="20"/>
  <c r="I96" i="20"/>
  <c r="N96" i="20"/>
  <c r="K96" i="20"/>
  <c r="E96" i="20"/>
  <c r="H14" i="8"/>
  <c r="H52" i="9"/>
  <c r="G52" i="9"/>
  <c r="N95" i="21"/>
  <c r="M95" i="21"/>
  <c r="J95" i="21"/>
  <c r="K95" i="21"/>
  <c r="D95" i="21"/>
  <c r="E95" i="21"/>
  <c r="G95" i="21"/>
  <c r="F95" i="21"/>
  <c r="K95" i="22"/>
  <c r="D95" i="19"/>
  <c r="I95" i="19"/>
  <c r="G95" i="19"/>
  <c r="E95" i="19"/>
  <c r="N95" i="19"/>
  <c r="O95" i="19"/>
  <c r="L95" i="19"/>
  <c r="J95" i="19"/>
  <c r="H95" i="19"/>
  <c r="K95" i="19"/>
  <c r="M95" i="19"/>
  <c r="F95" i="19"/>
  <c r="D95" i="22"/>
  <c r="O95" i="20"/>
  <c r="J95" i="20"/>
  <c r="I95" i="20"/>
  <c r="N95" i="20"/>
  <c r="G95" i="20"/>
  <c r="S94" i="19"/>
  <c r="G108" i="18"/>
  <c r="D91" i="19"/>
  <c r="L91" i="19"/>
  <c r="H91" i="19"/>
  <c r="O91" i="19"/>
  <c r="E91" i="19"/>
  <c r="N91" i="19"/>
  <c r="J91" i="19"/>
  <c r="G91" i="19"/>
  <c r="I91" i="19"/>
  <c r="K91" i="19"/>
  <c r="F91" i="19"/>
  <c r="M91" i="19"/>
  <c r="M73" i="18"/>
  <c r="H73" i="18"/>
  <c r="R43" i="25"/>
  <c r="J86" i="18"/>
  <c r="O7" i="1"/>
  <c r="M7" i="1"/>
  <c r="E127" i="19"/>
  <c r="O127" i="19"/>
  <c r="L127" i="19"/>
  <c r="J127" i="19"/>
  <c r="K127" i="19"/>
  <c r="O122" i="20"/>
  <c r="M122" i="20"/>
  <c r="E122" i="20"/>
  <c r="N122" i="20"/>
  <c r="D122" i="20"/>
  <c r="J122" i="20"/>
  <c r="H122" i="20"/>
  <c r="F122" i="20"/>
  <c r="I122" i="20"/>
  <c r="K122" i="20"/>
  <c r="L122" i="20"/>
  <c r="G122" i="20"/>
  <c r="E122" i="21"/>
  <c r="S121" i="19"/>
  <c r="S116" i="18"/>
  <c r="I115" i="19"/>
  <c r="F115" i="19"/>
  <c r="K115" i="19"/>
  <c r="E111" i="19"/>
  <c r="H111" i="19"/>
  <c r="F111" i="19"/>
  <c r="L111" i="19"/>
  <c r="K111" i="19"/>
  <c r="N111" i="19"/>
  <c r="I111" i="19"/>
  <c r="J111" i="19"/>
  <c r="S96" i="19"/>
  <c r="H95" i="21"/>
  <c r="L95" i="21"/>
  <c r="O95" i="21"/>
  <c r="I95" i="21"/>
  <c r="G94" i="22"/>
  <c r="M94" i="22"/>
  <c r="E94" i="22"/>
  <c r="N94" i="22"/>
  <c r="I94" i="22"/>
  <c r="O94" i="22"/>
  <c r="K94" i="22"/>
  <c r="L94" i="22"/>
  <c r="D94" i="22"/>
  <c r="E94" i="20"/>
  <c r="K94" i="20"/>
  <c r="D94" i="20"/>
  <c r="I94" i="20"/>
  <c r="N94" i="20"/>
  <c r="L94" i="20"/>
  <c r="G94" i="20"/>
  <c r="O94" i="20"/>
  <c r="M94" i="20"/>
  <c r="D94" i="21"/>
  <c r="I94" i="21"/>
  <c r="E94" i="21"/>
  <c r="E92" i="19"/>
  <c r="F92" i="19"/>
  <c r="I92" i="19"/>
  <c r="D92" i="19"/>
  <c r="H92" i="19"/>
  <c r="R15" i="25"/>
  <c r="S91" i="18"/>
  <c r="H64" i="14"/>
  <c r="J6" i="32"/>
  <c r="D64" i="14"/>
  <c r="E64" i="14"/>
  <c r="G64" i="14"/>
  <c r="F64" i="14"/>
  <c r="F73" i="18"/>
  <c r="L73" i="18"/>
  <c r="H86" i="18"/>
  <c r="O86" i="18"/>
  <c r="K73" i="18"/>
  <c r="O86" i="21"/>
  <c r="G73" i="18"/>
  <c r="O73" i="18"/>
  <c r="I73" i="18"/>
  <c r="D73" i="18"/>
  <c r="J73" i="18"/>
  <c r="N73" i="18"/>
  <c r="K86" i="21"/>
  <c r="N86" i="21"/>
  <c r="D86" i="21"/>
  <c r="L87" i="18"/>
  <c r="N87" i="21"/>
  <c r="G87" i="22"/>
  <c r="J86" i="21"/>
  <c r="M86" i="21"/>
  <c r="E86" i="21"/>
  <c r="M86" i="18"/>
  <c r="I86" i="21"/>
  <c r="D86" i="18"/>
  <c r="E86" i="18"/>
  <c r="N86" i="18"/>
  <c r="G86" i="21"/>
  <c r="H86" i="21"/>
  <c r="K86" i="18"/>
  <c r="F86" i="18"/>
  <c r="F86" i="21"/>
  <c r="I86" i="18"/>
  <c r="L86" i="18"/>
  <c r="O87" i="21"/>
  <c r="M87" i="21"/>
  <c r="M87" i="22"/>
  <c r="J87" i="22"/>
  <c r="D87" i="21"/>
  <c r="E87" i="22"/>
  <c r="D87" i="22"/>
  <c r="H87" i="22"/>
  <c r="E87" i="21"/>
  <c r="K87" i="21"/>
  <c r="N87" i="22"/>
  <c r="I87" i="22"/>
  <c r="I87" i="21"/>
  <c r="L87" i="22"/>
  <c r="G87" i="21"/>
  <c r="L87" i="21"/>
  <c r="J87" i="21"/>
  <c r="H87" i="21"/>
  <c r="O87" i="22"/>
  <c r="K87" i="22"/>
  <c r="H87" i="18"/>
  <c r="E87" i="18"/>
  <c r="D87" i="18"/>
  <c r="N87" i="18"/>
  <c r="I87" i="18"/>
  <c r="F87" i="18"/>
  <c r="J87" i="18"/>
  <c r="K87" i="18"/>
  <c r="M87" i="18"/>
  <c r="G87" i="18"/>
  <c r="M87" i="20"/>
  <c r="I87" i="20"/>
  <c r="K87" i="20"/>
  <c r="H87" i="20"/>
  <c r="G87" i="20"/>
  <c r="F87" i="20"/>
  <c r="L87" i="20"/>
  <c r="J87" i="20"/>
  <c r="D87" i="20"/>
  <c r="E87" i="20"/>
  <c r="N87" i="20"/>
  <c r="O86" i="22"/>
  <c r="N86" i="22"/>
  <c r="E86" i="22"/>
  <c r="D86" i="22"/>
  <c r="F86" i="22"/>
  <c r="G86" i="22"/>
  <c r="J86" i="22"/>
  <c r="M86" i="22"/>
  <c r="L86" i="22"/>
  <c r="H86" i="22"/>
  <c r="I86" i="22"/>
  <c r="N7" i="12"/>
  <c r="N7" i="11"/>
  <c r="T14" i="12"/>
  <c r="T10" i="12"/>
  <c r="T15" i="12"/>
  <c r="T16" i="12"/>
  <c r="T8" i="12"/>
  <c r="T11" i="12"/>
  <c r="T12" i="12"/>
  <c r="T13" i="12"/>
  <c r="T9" i="12"/>
  <c r="T17" i="12"/>
  <c r="S2" i="13"/>
  <c r="S14" i="12"/>
  <c r="S15" i="12"/>
  <c r="S10" i="12"/>
  <c r="S8" i="12"/>
  <c r="S12" i="12"/>
  <c r="S16" i="12"/>
  <c r="S11" i="12"/>
  <c r="S17" i="12"/>
  <c r="S9" i="12"/>
  <c r="S13" i="12"/>
  <c r="O17" i="1"/>
  <c r="S17" i="1"/>
  <c r="T17" i="1"/>
  <c r="O14" i="1"/>
  <c r="T14" i="1"/>
  <c r="S14" i="1"/>
  <c r="S16" i="1"/>
  <c r="T16" i="1"/>
  <c r="I7" i="12"/>
  <c r="K7" i="11"/>
  <c r="P7" i="11"/>
  <c r="M15" i="1"/>
  <c r="T15" i="1"/>
  <c r="S15" i="1"/>
  <c r="P12" i="1"/>
  <c r="S12" i="1"/>
  <c r="T12" i="1"/>
  <c r="P7" i="1"/>
  <c r="T7" i="1"/>
  <c r="S7" i="1"/>
  <c r="S7" i="10"/>
  <c r="S99" i="10"/>
  <c r="E38" i="9"/>
  <c r="P7" i="10"/>
  <c r="T7" i="10"/>
  <c r="T99" i="10"/>
  <c r="E39" i="9"/>
  <c r="O7" i="10"/>
  <c r="K87" i="19"/>
  <c r="K86" i="19"/>
  <c r="S147" i="20"/>
  <c r="S147" i="21"/>
  <c r="S147" i="19"/>
  <c r="D132" i="20"/>
  <c r="H132" i="20"/>
  <c r="G132" i="20"/>
  <c r="O132" i="20"/>
  <c r="L132" i="20"/>
  <c r="I132" i="20"/>
  <c r="N132" i="20"/>
  <c r="J132" i="20"/>
  <c r="K132" i="20"/>
  <c r="F132" i="20"/>
  <c r="E132" i="20"/>
  <c r="M132" i="20"/>
  <c r="H51" i="8"/>
  <c r="H89" i="9"/>
  <c r="G127" i="20"/>
  <c r="L127" i="20"/>
  <c r="F127" i="20"/>
  <c r="K127" i="20"/>
  <c r="M127" i="20"/>
  <c r="J127" i="20"/>
  <c r="H127" i="20"/>
  <c r="I127" i="20"/>
  <c r="D127" i="20"/>
  <c r="O127" i="20"/>
  <c r="E127" i="20"/>
  <c r="N127" i="20"/>
  <c r="H45" i="8"/>
  <c r="H83" i="9"/>
  <c r="H44" i="8"/>
  <c r="H82" i="9"/>
  <c r="I125" i="20"/>
  <c r="E125" i="20"/>
  <c r="G125" i="20"/>
  <c r="H125" i="20"/>
  <c r="K125" i="20"/>
  <c r="J125" i="20"/>
  <c r="D125" i="20"/>
  <c r="O125" i="20"/>
  <c r="F125" i="20"/>
  <c r="N125" i="20"/>
  <c r="M125" i="20"/>
  <c r="L125" i="20"/>
  <c r="H124" i="19"/>
  <c r="G124" i="19"/>
  <c r="M124" i="19"/>
  <c r="E124" i="19"/>
  <c r="J124" i="19"/>
  <c r="I124" i="19"/>
  <c r="N124" i="19"/>
  <c r="D124" i="19"/>
  <c r="L124" i="19"/>
  <c r="O124" i="19"/>
  <c r="K124" i="19"/>
  <c r="F124" i="19"/>
  <c r="I124" i="20"/>
  <c r="E124" i="20"/>
  <c r="N124" i="20"/>
  <c r="M124" i="20"/>
  <c r="O124" i="20"/>
  <c r="G124" i="20"/>
  <c r="F124" i="20"/>
  <c r="J124" i="20"/>
  <c r="D124" i="20"/>
  <c r="L124" i="20"/>
  <c r="K124" i="20"/>
  <c r="H124" i="20"/>
  <c r="H43" i="8"/>
  <c r="H81" i="9"/>
  <c r="J123" i="19"/>
  <c r="L123" i="19"/>
  <c r="H123" i="19"/>
  <c r="I123" i="20"/>
  <c r="O123" i="20"/>
  <c r="J123" i="20"/>
  <c r="D123" i="20"/>
  <c r="E123" i="20"/>
  <c r="H123" i="20"/>
  <c r="K123" i="20"/>
  <c r="F123" i="20"/>
  <c r="G123" i="20"/>
  <c r="L123" i="20"/>
  <c r="N123" i="20"/>
  <c r="M123" i="20"/>
  <c r="H121" i="20"/>
  <c r="N121" i="20"/>
  <c r="K121" i="20"/>
  <c r="I119" i="20"/>
  <c r="L119" i="20"/>
  <c r="O119" i="20"/>
  <c r="G119" i="20"/>
  <c r="J119" i="20"/>
  <c r="E119" i="20"/>
  <c r="M119" i="20"/>
  <c r="D119" i="20"/>
  <c r="K119" i="20"/>
  <c r="F119" i="20"/>
  <c r="N119" i="20"/>
  <c r="H119" i="20"/>
  <c r="I119" i="21"/>
  <c r="G119" i="21"/>
  <c r="F119" i="21"/>
  <c r="H119" i="21"/>
  <c r="L119" i="21"/>
  <c r="E119" i="21"/>
  <c r="J119" i="21"/>
  <c r="N119" i="21"/>
  <c r="D119" i="21"/>
  <c r="M119" i="21"/>
  <c r="O119" i="21"/>
  <c r="K119" i="21"/>
  <c r="H118" i="20"/>
  <c r="F118" i="20"/>
  <c r="D118" i="20"/>
  <c r="G118" i="20"/>
  <c r="N118" i="20"/>
  <c r="I118" i="20"/>
  <c r="O118" i="20"/>
  <c r="J118" i="20"/>
  <c r="L118" i="20"/>
  <c r="M118" i="20"/>
  <c r="K118" i="20"/>
  <c r="E118" i="20"/>
  <c r="H37" i="8"/>
  <c r="H36" i="8"/>
  <c r="H74" i="9"/>
  <c r="O117" i="20"/>
  <c r="G117" i="20"/>
  <c r="N117" i="20"/>
  <c r="L117" i="20"/>
  <c r="H117" i="20"/>
  <c r="E117" i="20"/>
  <c r="D117" i="20"/>
  <c r="M117" i="20"/>
  <c r="K117" i="20"/>
  <c r="J117" i="20"/>
  <c r="F117" i="20"/>
  <c r="I117" i="20"/>
  <c r="J116" i="20"/>
  <c r="F116" i="20"/>
  <c r="D116" i="20"/>
  <c r="H35" i="8"/>
  <c r="H73" i="9"/>
  <c r="H115" i="20"/>
  <c r="M115" i="20"/>
  <c r="K115" i="20"/>
  <c r="F115" i="20"/>
  <c r="N115" i="20"/>
  <c r="I115" i="20"/>
  <c r="E115" i="20"/>
  <c r="G115" i="20"/>
  <c r="D115" i="20"/>
  <c r="J115" i="20"/>
  <c r="L115" i="20"/>
  <c r="O115" i="20"/>
  <c r="E115" i="21"/>
  <c r="F115" i="21"/>
  <c r="N115" i="21"/>
  <c r="D115" i="21"/>
  <c r="G115" i="21"/>
  <c r="I115" i="21"/>
  <c r="L115" i="21"/>
  <c r="K115" i="21"/>
  <c r="M115" i="21"/>
  <c r="J115" i="21"/>
  <c r="O115" i="21"/>
  <c r="H115" i="21"/>
  <c r="L115" i="22"/>
  <c r="N115" i="22"/>
  <c r="F115" i="22"/>
  <c r="D115" i="22"/>
  <c r="M115" i="22"/>
  <c r="H115" i="22"/>
  <c r="I115" i="22"/>
  <c r="G115" i="22"/>
  <c r="J115" i="22"/>
  <c r="K115" i="22"/>
  <c r="O115" i="22"/>
  <c r="E115" i="22"/>
  <c r="L114" i="20"/>
  <c r="H114" i="20"/>
  <c r="M114" i="20"/>
  <c r="F114" i="20"/>
  <c r="E114" i="20"/>
  <c r="J114" i="20"/>
  <c r="K114" i="20"/>
  <c r="I114" i="20"/>
  <c r="G114" i="20"/>
  <c r="D114" i="20"/>
  <c r="N114" i="20"/>
  <c r="O114" i="20"/>
  <c r="G113" i="20"/>
  <c r="H113" i="20"/>
  <c r="M113" i="20"/>
  <c r="E113" i="20"/>
  <c r="D113" i="20"/>
  <c r="L113" i="20"/>
  <c r="O113" i="20"/>
  <c r="K113" i="20"/>
  <c r="N113" i="20"/>
  <c r="F113" i="20"/>
  <c r="J113" i="20"/>
  <c r="I113" i="20"/>
  <c r="I112" i="19"/>
  <c r="E112" i="19"/>
  <c r="G112" i="19"/>
  <c r="N112" i="19"/>
  <c r="F112" i="19"/>
  <c r="H112" i="19"/>
  <c r="D112" i="19"/>
  <c r="O112" i="19"/>
  <c r="J112" i="19"/>
  <c r="K112" i="19"/>
  <c r="M112" i="19"/>
  <c r="O112" i="20"/>
  <c r="E112" i="20"/>
  <c r="N112" i="20"/>
  <c r="H30" i="8"/>
  <c r="H68" i="9"/>
  <c r="I111" i="20"/>
  <c r="F111" i="20"/>
  <c r="K111" i="20"/>
  <c r="H111" i="20"/>
  <c r="M111" i="20"/>
  <c r="G111" i="20"/>
  <c r="L111" i="20"/>
  <c r="N111" i="20"/>
  <c r="E111" i="20"/>
  <c r="O111" i="20"/>
  <c r="J111" i="20"/>
  <c r="D111" i="20"/>
  <c r="I111" i="21"/>
  <c r="G111" i="21"/>
  <c r="F111" i="21"/>
  <c r="M111" i="21"/>
  <c r="N111" i="21"/>
  <c r="O111" i="21"/>
  <c r="E111" i="21"/>
  <c r="L111" i="21"/>
  <c r="K111" i="21"/>
  <c r="H111" i="21"/>
  <c r="D111" i="21"/>
  <c r="J111" i="21"/>
  <c r="N111" i="22"/>
  <c r="J111" i="22"/>
  <c r="F111" i="22"/>
  <c r="G111" i="22"/>
  <c r="L111" i="22"/>
  <c r="M111" i="22"/>
  <c r="H111" i="22"/>
  <c r="K111" i="22"/>
  <c r="E111" i="22"/>
  <c r="I111" i="22"/>
  <c r="O111" i="22"/>
  <c r="D111" i="22"/>
  <c r="O107" i="20"/>
  <c r="S107" i="18"/>
  <c r="S95" i="18"/>
  <c r="I93" i="19"/>
  <c r="L93" i="19"/>
  <c r="F93" i="19"/>
  <c r="K93" i="19"/>
  <c r="M93" i="19"/>
  <c r="E93" i="19"/>
  <c r="J93" i="19"/>
  <c r="N93" i="19"/>
  <c r="G93" i="19"/>
  <c r="H93" i="19"/>
  <c r="D93" i="19"/>
  <c r="O93" i="19"/>
  <c r="G49" i="9"/>
  <c r="H11" i="8"/>
  <c r="H49" i="9"/>
  <c r="G93" i="22"/>
  <c r="S93" i="18"/>
  <c r="N17" i="25"/>
  <c r="R17" i="25"/>
  <c r="N93" i="20"/>
  <c r="E93" i="20"/>
  <c r="K93" i="20"/>
  <c r="O93" i="20"/>
  <c r="M93" i="20"/>
  <c r="L93" i="20"/>
  <c r="H93" i="20"/>
  <c r="D93" i="20"/>
  <c r="I93" i="20"/>
  <c r="G93" i="20"/>
  <c r="J93" i="20"/>
  <c r="F93" i="20"/>
  <c r="S92" i="18"/>
  <c r="H10" i="8"/>
  <c r="H48" i="9"/>
  <c r="G48" i="9"/>
  <c r="N92" i="20"/>
  <c r="L92" i="20"/>
  <c r="J92" i="20"/>
  <c r="H92" i="20"/>
  <c r="G92" i="20"/>
  <c r="F92" i="20"/>
  <c r="I92" i="20"/>
  <c r="D92" i="20"/>
  <c r="E92" i="20"/>
  <c r="M92" i="20"/>
  <c r="K92" i="20"/>
  <c r="O92" i="20"/>
  <c r="H108" i="18"/>
  <c r="G47" i="9"/>
  <c r="F91" i="21"/>
  <c r="H9" i="8"/>
  <c r="H47" i="9"/>
  <c r="I91" i="20"/>
  <c r="D91" i="20"/>
  <c r="G91" i="20"/>
  <c r="O91" i="20"/>
  <c r="E91" i="20"/>
  <c r="L91" i="20"/>
  <c r="J91" i="20"/>
  <c r="N91" i="20"/>
  <c r="H91" i="20"/>
  <c r="M91" i="20"/>
  <c r="K91" i="20"/>
  <c r="M24" i="15"/>
  <c r="M25" i="15"/>
  <c r="S12" i="22"/>
  <c r="S12" i="21"/>
  <c r="S18" i="19"/>
  <c r="G18" i="20"/>
  <c r="F18" i="20"/>
  <c r="H18" i="20"/>
  <c r="K18" i="20"/>
  <c r="E18" i="20"/>
  <c r="L18" i="20"/>
  <c r="R18" i="20"/>
  <c r="M18" i="20"/>
  <c r="D18" i="20"/>
  <c r="J18" i="20"/>
  <c r="O18" i="20"/>
  <c r="N18" i="20"/>
  <c r="I18" i="20"/>
  <c r="P18" i="20"/>
  <c r="P26" i="20"/>
  <c r="O26" i="20"/>
  <c r="F26" i="20"/>
  <c r="E26" i="20"/>
  <c r="M26" i="20"/>
  <c r="L26" i="20"/>
  <c r="K26" i="20"/>
  <c r="R26" i="20"/>
  <c r="D26" i="20"/>
  <c r="I26" i="20"/>
  <c r="H26" i="20"/>
  <c r="N26" i="20"/>
  <c r="J26" i="20"/>
  <c r="E20" i="32"/>
  <c r="E24" i="32"/>
  <c r="E25" i="32"/>
  <c r="F18" i="21"/>
  <c r="P18" i="21"/>
  <c r="G18" i="21"/>
  <c r="R18" i="21"/>
  <c r="M18" i="21"/>
  <c r="L18" i="21"/>
  <c r="O18" i="21"/>
  <c r="N18" i="21"/>
  <c r="I18" i="21"/>
  <c r="H18" i="21"/>
  <c r="K18" i="21"/>
  <c r="J18" i="21"/>
  <c r="D18" i="21"/>
  <c r="E18" i="21"/>
  <c r="G13" i="15"/>
  <c r="N86" i="20"/>
  <c r="I86" i="20"/>
  <c r="G86" i="20"/>
  <c r="O86" i="20"/>
  <c r="K86" i="20"/>
  <c r="M86" i="20"/>
  <c r="L86" i="20"/>
  <c r="F86" i="20"/>
  <c r="H86" i="20"/>
  <c r="J86" i="20"/>
  <c r="E86" i="20"/>
  <c r="F24" i="9"/>
  <c r="G70" i="20"/>
  <c r="F15" i="9"/>
  <c r="G61" i="20"/>
  <c r="U101" i="11"/>
  <c r="K28" i="25"/>
  <c r="M23" i="25"/>
  <c r="N108" i="18"/>
  <c r="D108" i="18"/>
  <c r="S102" i="18"/>
  <c r="S103" i="18"/>
  <c r="I40" i="25"/>
  <c r="J28" i="25"/>
  <c r="J108" i="18"/>
  <c r="G50" i="25"/>
  <c r="F33" i="25"/>
  <c r="J40" i="25"/>
  <c r="M40" i="25"/>
  <c r="L34" i="25"/>
  <c r="J34" i="25"/>
  <c r="Q50" i="25"/>
  <c r="M29" i="25"/>
  <c r="I23" i="25"/>
  <c r="E107" i="20"/>
  <c r="J107" i="20"/>
  <c r="K107" i="20"/>
  <c r="I33" i="25"/>
  <c r="G28" i="25"/>
  <c r="I21" i="25"/>
  <c r="Q28" i="25"/>
  <c r="J29" i="25"/>
  <c r="N24" i="25"/>
  <c r="M33" i="25"/>
  <c r="F34" i="25"/>
  <c r="K21" i="25"/>
  <c r="H21" i="25"/>
  <c r="O29" i="25"/>
  <c r="K34" i="25"/>
  <c r="K23" i="25"/>
  <c r="I108" i="18"/>
  <c r="L108" i="18"/>
  <c r="J100" i="19"/>
  <c r="E64" i="9"/>
  <c r="F18" i="16"/>
  <c r="L100" i="19"/>
  <c r="D100" i="19"/>
  <c r="O100" i="19"/>
  <c r="F100" i="19"/>
  <c r="G100" i="19"/>
  <c r="E100" i="19"/>
  <c r="M100" i="19"/>
  <c r="K100" i="19"/>
  <c r="H100" i="19"/>
  <c r="N100" i="19"/>
  <c r="I100" i="19"/>
  <c r="P40" i="25"/>
  <c r="N21" i="25"/>
  <c r="G29" i="25"/>
  <c r="O40" i="25"/>
  <c r="J33" i="25"/>
  <c r="Q33" i="25"/>
  <c r="P34" i="25"/>
  <c r="M24" i="25"/>
  <c r="G40" i="25"/>
  <c r="I29" i="25"/>
  <c r="M34" i="25"/>
  <c r="M108" i="18"/>
  <c r="K108" i="18"/>
  <c r="H107" i="20"/>
  <c r="L107" i="20"/>
  <c r="L104" i="19"/>
  <c r="J104" i="19"/>
  <c r="D104" i="19"/>
  <c r="F104" i="19"/>
  <c r="O104" i="19"/>
  <c r="E104" i="19"/>
  <c r="H104" i="19"/>
  <c r="N104" i="19"/>
  <c r="M104" i="19"/>
  <c r="K104" i="19"/>
  <c r="I104" i="19"/>
  <c r="G104" i="19"/>
  <c r="G55" i="9"/>
  <c r="H17" i="8"/>
  <c r="H55" i="9"/>
  <c r="G61" i="9"/>
  <c r="H23" i="8"/>
  <c r="H61" i="9"/>
  <c r="F108" i="18"/>
  <c r="S97" i="18"/>
  <c r="S101" i="18"/>
  <c r="E108" i="18"/>
  <c r="S99" i="18"/>
  <c r="F50" i="25"/>
  <c r="K50" i="25"/>
  <c r="Q34" i="25"/>
  <c r="K24" i="25"/>
  <c r="O21" i="25"/>
  <c r="O50" i="25"/>
  <c r="K33" i="25"/>
  <c r="O33" i="25"/>
  <c r="Q29" i="25"/>
  <c r="O28" i="25"/>
  <c r="M28" i="25"/>
  <c r="K29" i="25"/>
  <c r="H29" i="25"/>
  <c r="L40" i="25"/>
  <c r="N29" i="25"/>
  <c r="I24" i="25"/>
  <c r="L28" i="25"/>
  <c r="L24" i="25"/>
  <c r="I50" i="25"/>
  <c r="N50" i="25"/>
  <c r="L21" i="25"/>
  <c r="M50" i="25"/>
  <c r="K40" i="25"/>
  <c r="G34" i="25"/>
  <c r="H40" i="25"/>
  <c r="Q40" i="25"/>
  <c r="N40" i="25"/>
  <c r="P29" i="25"/>
  <c r="I34" i="25"/>
  <c r="J50" i="25"/>
  <c r="G33" i="25"/>
  <c r="F29" i="25"/>
  <c r="H24" i="25"/>
  <c r="O34" i="25"/>
  <c r="M21" i="25"/>
  <c r="L50" i="25"/>
  <c r="I28" i="25"/>
  <c r="O23" i="25"/>
  <c r="P33" i="25"/>
  <c r="H28" i="25"/>
  <c r="O24" i="25"/>
  <c r="N28" i="25"/>
  <c r="L29" i="25"/>
  <c r="H34" i="25"/>
  <c r="F40" i="25"/>
  <c r="L100" i="20"/>
  <c r="D100" i="20"/>
  <c r="I100" i="20"/>
  <c r="J100" i="20"/>
  <c r="O100" i="20"/>
  <c r="G100" i="20"/>
  <c r="H100" i="20"/>
  <c r="M100" i="20"/>
  <c r="E100" i="20"/>
  <c r="K100" i="20"/>
  <c r="N100" i="20"/>
  <c r="F100" i="20"/>
  <c r="G60" i="9"/>
  <c r="H22" i="8"/>
  <c r="H60" i="9"/>
  <c r="S105" i="18"/>
  <c r="G54" i="9"/>
  <c r="G26" i="8"/>
  <c r="H16" i="8"/>
  <c r="G62" i="9"/>
  <c r="H24" i="8"/>
  <c r="H62" i="9"/>
  <c r="G57" i="9"/>
  <c r="H19" i="8"/>
  <c r="H57" i="9"/>
  <c r="H103" i="22"/>
  <c r="M103" i="22"/>
  <c r="E103" i="22"/>
  <c r="N103" i="22"/>
  <c r="F103" i="22"/>
  <c r="K103" i="22"/>
  <c r="L103" i="22"/>
  <c r="D103" i="22"/>
  <c r="I103" i="22"/>
  <c r="J103" i="22"/>
  <c r="O103" i="22"/>
  <c r="G103" i="22"/>
  <c r="E98" i="20"/>
  <c r="N98" i="20"/>
  <c r="H98" i="20"/>
  <c r="L98" i="20"/>
  <c r="M98" i="20"/>
  <c r="G98" i="20"/>
  <c r="K98" i="20"/>
  <c r="O98" i="20"/>
  <c r="I98" i="20"/>
  <c r="F98" i="20"/>
  <c r="D98" i="20"/>
  <c r="F64" i="9"/>
  <c r="H18" i="16"/>
  <c r="J98" i="20"/>
  <c r="G58" i="9"/>
  <c r="H20" i="8"/>
  <c r="H58" i="9"/>
  <c r="N106" i="20"/>
  <c r="F106" i="20"/>
  <c r="K106" i="20"/>
  <c r="L106" i="20"/>
  <c r="D106" i="20"/>
  <c r="I106" i="20"/>
  <c r="J106" i="20"/>
  <c r="O106" i="20"/>
  <c r="G106" i="20"/>
  <c r="M106" i="20"/>
  <c r="E106" i="20"/>
  <c r="H106" i="20"/>
  <c r="J99" i="20"/>
  <c r="O99" i="20"/>
  <c r="G99" i="20"/>
  <c r="H99" i="20"/>
  <c r="M99" i="20"/>
  <c r="E99" i="20"/>
  <c r="N99" i="20"/>
  <c r="F99" i="20"/>
  <c r="K99" i="20"/>
  <c r="L99" i="20"/>
  <c r="D99" i="20"/>
  <c r="I99" i="20"/>
  <c r="L105" i="20"/>
  <c r="D105" i="20"/>
  <c r="I105" i="20"/>
  <c r="J105" i="20"/>
  <c r="O105" i="20"/>
  <c r="G105" i="20"/>
  <c r="H105" i="20"/>
  <c r="M105" i="20"/>
  <c r="E105" i="20"/>
  <c r="N105" i="20"/>
  <c r="F105" i="20"/>
  <c r="K105" i="20"/>
  <c r="J102" i="20"/>
  <c r="O102" i="20"/>
  <c r="G102" i="20"/>
  <c r="H102" i="20"/>
  <c r="M102" i="20"/>
  <c r="E102" i="20"/>
  <c r="N102" i="20"/>
  <c r="F102" i="20"/>
  <c r="K102" i="20"/>
  <c r="I102" i="20"/>
  <c r="L102" i="20"/>
  <c r="D102" i="20"/>
  <c r="M101" i="20"/>
  <c r="E101" i="20"/>
  <c r="N101" i="20"/>
  <c r="G101" i="20"/>
  <c r="F101" i="20"/>
  <c r="O101" i="20"/>
  <c r="I101" i="20"/>
  <c r="J101" i="20"/>
  <c r="D101" i="20"/>
  <c r="H101" i="20"/>
  <c r="K101" i="20"/>
  <c r="L101" i="20"/>
  <c r="G56" i="9"/>
  <c r="H18" i="8"/>
  <c r="H56" i="9"/>
  <c r="H104" i="20"/>
  <c r="M104" i="20"/>
  <c r="E104" i="20"/>
  <c r="N104" i="20"/>
  <c r="O104" i="20"/>
  <c r="I104" i="20"/>
  <c r="J104" i="20"/>
  <c r="D104" i="20"/>
  <c r="K104" i="20"/>
  <c r="L104" i="20"/>
  <c r="F104" i="20"/>
  <c r="G104" i="20"/>
  <c r="P50" i="25"/>
  <c r="H23" i="25"/>
  <c r="H33" i="25"/>
  <c r="J21" i="25"/>
  <c r="J24" i="25"/>
  <c r="L33" i="25"/>
  <c r="J23" i="25"/>
  <c r="L23" i="25"/>
  <c r="N33" i="25"/>
  <c r="F13" i="9"/>
  <c r="F59" i="20"/>
  <c r="E69" i="19"/>
  <c r="F20" i="9"/>
  <c r="L66" i="20"/>
  <c r="F11" i="9"/>
  <c r="J58" i="20"/>
  <c r="F23" i="9"/>
  <c r="I69" i="20"/>
  <c r="J101" i="11"/>
  <c r="V101" i="11"/>
  <c r="F16" i="9"/>
  <c r="N62" i="20"/>
  <c r="K75" i="20"/>
  <c r="F10" i="9"/>
  <c r="M57" i="20"/>
  <c r="I74" i="20"/>
  <c r="H7" i="12"/>
  <c r="I69" i="19"/>
  <c r="N69" i="19"/>
  <c r="L87" i="19"/>
  <c r="O67" i="19"/>
  <c r="G69" i="19"/>
  <c r="H69" i="19"/>
  <c r="O69" i="19"/>
  <c r="Q101" i="11"/>
  <c r="K69" i="19"/>
  <c r="D69" i="19"/>
  <c r="E87" i="19"/>
  <c r="H7" i="13"/>
  <c r="E11" i="9"/>
  <c r="J58" i="19"/>
  <c r="Q99" i="11"/>
  <c r="I99" i="11"/>
  <c r="N55" i="18"/>
  <c r="P2" i="25"/>
  <c r="K55" i="18"/>
  <c r="M2" i="25"/>
  <c r="G55" i="18"/>
  <c r="I2" i="25"/>
  <c r="F55" i="18"/>
  <c r="H2" i="25"/>
  <c r="G67" i="19"/>
  <c r="P55" i="18"/>
  <c r="P63" i="18"/>
  <c r="N67" i="19"/>
  <c r="L55" i="18"/>
  <c r="N2" i="25"/>
  <c r="E55" i="18"/>
  <c r="G2" i="25"/>
  <c r="D55" i="18"/>
  <c r="F2" i="25"/>
  <c r="J67" i="19"/>
  <c r="E67" i="19"/>
  <c r="G56" i="19"/>
  <c r="J55" i="18"/>
  <c r="L2" i="25"/>
  <c r="F67" i="19"/>
  <c r="H67" i="19"/>
  <c r="E15" i="9"/>
  <c r="L61" i="19"/>
  <c r="H55" i="18"/>
  <c r="J2" i="25"/>
  <c r="D17" i="9"/>
  <c r="D14" i="16"/>
  <c r="M55" i="18"/>
  <c r="O2" i="25"/>
  <c r="I55" i="18"/>
  <c r="K2" i="25"/>
  <c r="D66" i="19"/>
  <c r="S67" i="18"/>
  <c r="E66" i="19"/>
  <c r="E66" i="18"/>
  <c r="G7" i="25"/>
  <c r="H71" i="18"/>
  <c r="J8" i="25"/>
  <c r="M71" i="18"/>
  <c r="O8" i="25"/>
  <c r="L69" i="19"/>
  <c r="S72" i="18"/>
  <c r="S56" i="18"/>
  <c r="F66" i="19"/>
  <c r="J56" i="19"/>
  <c r="K67" i="19"/>
  <c r="M69" i="19"/>
  <c r="I67" i="19"/>
  <c r="M67" i="19"/>
  <c r="N74" i="19"/>
  <c r="J69" i="19"/>
  <c r="G74" i="19"/>
  <c r="J74" i="19"/>
  <c r="P14" i="1"/>
  <c r="M14" i="1"/>
  <c r="G59" i="19"/>
  <c r="L74" i="19"/>
  <c r="F74" i="19"/>
  <c r="H60" i="19"/>
  <c r="I74" i="19"/>
  <c r="M74" i="19"/>
  <c r="G71" i="18"/>
  <c r="I8" i="25"/>
  <c r="I71" i="18"/>
  <c r="K8" i="25"/>
  <c r="D71" i="18"/>
  <c r="F8" i="25"/>
  <c r="J71" i="18"/>
  <c r="L8" i="25"/>
  <c r="E71" i="18"/>
  <c r="G8" i="25"/>
  <c r="K71" i="18"/>
  <c r="M8" i="25"/>
  <c r="L71" i="18"/>
  <c r="N8" i="25"/>
  <c r="P17" i="1"/>
  <c r="F71" i="18"/>
  <c r="H8" i="25"/>
  <c r="O71" i="18"/>
  <c r="Q8" i="25"/>
  <c r="E59" i="19"/>
  <c r="F59" i="19"/>
  <c r="H70" i="19"/>
  <c r="F70" i="19"/>
  <c r="H66" i="18"/>
  <c r="J7" i="25"/>
  <c r="H66" i="19"/>
  <c r="M66" i="19"/>
  <c r="N66" i="19"/>
  <c r="N59" i="19"/>
  <c r="H59" i="19"/>
  <c r="K59" i="19"/>
  <c r="O59" i="19"/>
  <c r="K66" i="19"/>
  <c r="J66" i="19"/>
  <c r="L66" i="19"/>
  <c r="D59" i="19"/>
  <c r="J59" i="19"/>
  <c r="I59" i="19"/>
  <c r="G60" i="19"/>
  <c r="O66" i="18"/>
  <c r="Q7" i="25"/>
  <c r="G66" i="19"/>
  <c r="I66" i="19"/>
  <c r="M59" i="19"/>
  <c r="I60" i="19"/>
  <c r="O74" i="19"/>
  <c r="M70" i="19"/>
  <c r="N70" i="19"/>
  <c r="O70" i="19"/>
  <c r="G70" i="19"/>
  <c r="E70" i="19"/>
  <c r="D70" i="19"/>
  <c r="D67" i="19"/>
  <c r="E56" i="19"/>
  <c r="F75" i="19"/>
  <c r="H56" i="19"/>
  <c r="M75" i="19"/>
  <c r="I75" i="19"/>
  <c r="D75" i="19"/>
  <c r="I56" i="19"/>
  <c r="O60" i="19"/>
  <c r="F60" i="19"/>
  <c r="F27" i="9"/>
  <c r="G73" i="20"/>
  <c r="I62" i="19"/>
  <c r="L62" i="19"/>
  <c r="E62" i="19"/>
  <c r="G62" i="19"/>
  <c r="K62" i="19"/>
  <c r="F62" i="19"/>
  <c r="N62" i="19"/>
  <c r="H62" i="19"/>
  <c r="D62" i="19"/>
  <c r="J62" i="19"/>
  <c r="M62" i="19"/>
  <c r="O62" i="19"/>
  <c r="N60" i="19"/>
  <c r="J60" i="19"/>
  <c r="M60" i="19"/>
  <c r="N75" i="19"/>
  <c r="E60" i="19"/>
  <c r="L75" i="19"/>
  <c r="O75" i="19"/>
  <c r="E75" i="19"/>
  <c r="J75" i="19"/>
  <c r="F101" i="11"/>
  <c r="E74" i="19"/>
  <c r="D74" i="19"/>
  <c r="K74" i="19"/>
  <c r="I101" i="11"/>
  <c r="D60" i="19"/>
  <c r="H75" i="19"/>
  <c r="L60" i="19"/>
  <c r="K75" i="19"/>
  <c r="L70" i="19"/>
  <c r="K70" i="19"/>
  <c r="J70" i="19"/>
  <c r="T2" i="13"/>
  <c r="F56" i="19"/>
  <c r="K56" i="19"/>
  <c r="L56" i="19"/>
  <c r="O56" i="19"/>
  <c r="N56" i="19"/>
  <c r="M56" i="19"/>
  <c r="I66" i="18"/>
  <c r="K7" i="25"/>
  <c r="G66" i="18"/>
  <c r="I7" i="25"/>
  <c r="J66" i="18"/>
  <c r="L7" i="25"/>
  <c r="M12" i="1"/>
  <c r="L66" i="18"/>
  <c r="N7" i="25"/>
  <c r="K66" i="18"/>
  <c r="M7" i="25"/>
  <c r="M66" i="18"/>
  <c r="O7" i="25"/>
  <c r="D66" i="18"/>
  <c r="F7" i="25"/>
  <c r="E25" i="9"/>
  <c r="N71" i="19"/>
  <c r="R5" i="25"/>
  <c r="F99" i="12"/>
  <c r="S69" i="18"/>
  <c r="N66" i="18"/>
  <c r="P7" i="25"/>
  <c r="S62" i="18"/>
  <c r="S59" i="18"/>
  <c r="F8" i="9"/>
  <c r="H101" i="11"/>
  <c r="N7" i="13"/>
  <c r="S70" i="18"/>
  <c r="S61" i="18"/>
  <c r="S57" i="18"/>
  <c r="S74" i="18"/>
  <c r="S60" i="18"/>
  <c r="B7" i="13"/>
  <c r="S75" i="18"/>
  <c r="P16" i="1"/>
  <c r="M16" i="1"/>
  <c r="W13" i="1"/>
  <c r="K101" i="1"/>
  <c r="H99" i="10"/>
  <c r="H101" i="10"/>
  <c r="E8" i="9"/>
  <c r="L57" i="19"/>
  <c r="K57" i="19"/>
  <c r="O57" i="19"/>
  <c r="E57" i="19"/>
  <c r="I57" i="19"/>
  <c r="D57" i="19"/>
  <c r="J57" i="19"/>
  <c r="H57" i="19"/>
  <c r="M57" i="19"/>
  <c r="G57" i="19"/>
  <c r="F57" i="19"/>
  <c r="N57" i="19"/>
  <c r="F25" i="9"/>
  <c r="D68" i="18"/>
  <c r="I68" i="18"/>
  <c r="G68" i="18"/>
  <c r="K68" i="18"/>
  <c r="J68" i="18"/>
  <c r="H68" i="18"/>
  <c r="M68" i="18"/>
  <c r="F68" i="18"/>
  <c r="O68" i="18"/>
  <c r="L68" i="18"/>
  <c r="D30" i="9"/>
  <c r="D15" i="16"/>
  <c r="N68" i="18"/>
  <c r="E68" i="18"/>
  <c r="W13" i="11"/>
  <c r="X13" i="11"/>
  <c r="F22" i="9"/>
  <c r="H99" i="11"/>
  <c r="G73" i="19"/>
  <c r="L73" i="19"/>
  <c r="K73" i="19"/>
  <c r="D73" i="19"/>
  <c r="O73" i="19"/>
  <c r="N73" i="19"/>
  <c r="F73" i="19"/>
  <c r="M73" i="19"/>
  <c r="E73" i="19"/>
  <c r="J73" i="19"/>
  <c r="H73" i="19"/>
  <c r="I73" i="19"/>
  <c r="O15" i="1"/>
  <c r="N15" i="1"/>
  <c r="P15" i="1"/>
  <c r="H58" i="18"/>
  <c r="J58" i="18"/>
  <c r="F58" i="18"/>
  <c r="L58" i="18"/>
  <c r="I58" i="18"/>
  <c r="G58" i="18"/>
  <c r="O58" i="18"/>
  <c r="N58" i="18"/>
  <c r="M58" i="18"/>
  <c r="E58" i="18"/>
  <c r="D58" i="18"/>
  <c r="K58" i="18"/>
  <c r="H68" i="19"/>
  <c r="J68" i="19"/>
  <c r="I68" i="19"/>
  <c r="D68" i="19"/>
  <c r="F68" i="19"/>
  <c r="E68" i="19"/>
  <c r="O68" i="19"/>
  <c r="K68" i="19"/>
  <c r="N68" i="19"/>
  <c r="G68" i="19"/>
  <c r="L68" i="19"/>
  <c r="M68" i="19"/>
  <c r="O163" i="19"/>
  <c r="N161" i="20"/>
  <c r="N163" i="20"/>
  <c r="J161" i="20"/>
  <c r="J163" i="20"/>
  <c r="F161" i="20"/>
  <c r="F163" i="20"/>
  <c r="O161" i="20"/>
  <c r="K161" i="20"/>
  <c r="K163" i="20"/>
  <c r="G161" i="20"/>
  <c r="G163" i="20"/>
  <c r="I161" i="20"/>
  <c r="I163" i="20"/>
  <c r="L161" i="20"/>
  <c r="L163" i="20"/>
  <c r="H161" i="20"/>
  <c r="H163" i="20"/>
  <c r="D161" i="20"/>
  <c r="M161" i="20"/>
  <c r="M163" i="20"/>
  <c r="E161" i="20"/>
  <c r="E163" i="20"/>
  <c r="N130" i="29"/>
  <c r="M130" i="29"/>
  <c r="S130" i="28"/>
  <c r="L130" i="29"/>
  <c r="K130" i="29"/>
  <c r="O131" i="29"/>
  <c r="O131" i="22"/>
  <c r="G131" i="29"/>
  <c r="G131" i="22"/>
  <c r="S131" i="28"/>
  <c r="M131" i="29"/>
  <c r="K131" i="29"/>
  <c r="K131" i="22"/>
  <c r="L131" i="29"/>
  <c r="N131" i="29"/>
  <c r="N131" i="22"/>
  <c r="E131" i="29"/>
  <c r="J131" i="29"/>
  <c r="J131" i="22"/>
  <c r="H131" i="29"/>
  <c r="F131" i="29"/>
  <c r="F131" i="22"/>
  <c r="I131" i="29"/>
  <c r="D131" i="22"/>
  <c r="N126" i="29"/>
  <c r="N126" i="21"/>
  <c r="M126" i="21"/>
  <c r="M126" i="29"/>
  <c r="L126" i="21"/>
  <c r="L126" i="29"/>
  <c r="O126" i="21"/>
  <c r="O126" i="29"/>
  <c r="H126" i="29"/>
  <c r="H126" i="21"/>
  <c r="J126" i="21"/>
  <c r="J126" i="29"/>
  <c r="I126" i="29"/>
  <c r="I126" i="21"/>
  <c r="K126" i="21"/>
  <c r="K126" i="29"/>
  <c r="G126" i="29"/>
  <c r="G126" i="21"/>
  <c r="F126" i="21"/>
  <c r="F126" i="29"/>
  <c r="E126" i="21"/>
  <c r="E126" i="29"/>
  <c r="D126" i="29"/>
  <c r="S126" i="28"/>
  <c r="D126" i="21"/>
  <c r="L112" i="28"/>
  <c r="L112" i="20"/>
  <c r="S107" i="29"/>
  <c r="F107" i="22"/>
  <c r="J94" i="21"/>
  <c r="J94" i="29"/>
  <c r="J94" i="22"/>
  <c r="H94" i="21"/>
  <c r="H94" i="29"/>
  <c r="H94" i="22"/>
  <c r="S94" i="28"/>
  <c r="F94" i="29"/>
  <c r="F94" i="21"/>
  <c r="S93" i="29"/>
  <c r="S91" i="28"/>
  <c r="F91" i="29"/>
  <c r="O73" i="29"/>
  <c r="S73" i="28"/>
  <c r="D73" i="29"/>
  <c r="S55" i="28"/>
  <c r="Q44" i="20"/>
  <c r="S44" i="20"/>
  <c r="Q44" i="28"/>
  <c r="F44" i="29"/>
  <c r="F44" i="21"/>
  <c r="S44" i="28"/>
  <c r="S44" i="19"/>
  <c r="G44" i="21"/>
  <c r="G44" i="29"/>
  <c r="G44" i="22"/>
  <c r="N19" i="29"/>
  <c r="N19" i="21"/>
  <c r="Q18" i="21"/>
  <c r="Q18" i="29"/>
  <c r="Q26" i="21"/>
  <c r="Q26" i="29"/>
  <c r="Q26" i="22"/>
  <c r="S26" i="20"/>
  <c r="S26" i="28"/>
  <c r="G26" i="29"/>
  <c r="G26" i="21"/>
  <c r="M72" i="29"/>
  <c r="K72" i="29"/>
  <c r="N72" i="29"/>
  <c r="F72" i="29"/>
  <c r="S72" i="28"/>
  <c r="H72" i="29"/>
  <c r="I72" i="29"/>
  <c r="L72" i="29"/>
  <c r="O72" i="29"/>
  <c r="G72" i="29"/>
  <c r="J72" i="29"/>
  <c r="I60" i="29"/>
  <c r="G56" i="29"/>
  <c r="S56" i="28"/>
  <c r="S128" i="27"/>
  <c r="E128" i="28"/>
  <c r="S154" i="22"/>
  <c r="S154" i="19"/>
  <c r="S154" i="21"/>
  <c r="D26" i="18"/>
  <c r="D20" i="32"/>
  <c r="D24" i="32"/>
  <c r="B20" i="32"/>
  <c r="C20" i="32"/>
  <c r="E18" i="18"/>
  <c r="M18" i="18"/>
  <c r="J18" i="18"/>
  <c r="G18" i="18"/>
  <c r="D18" i="18"/>
  <c r="P18" i="18"/>
  <c r="N18" i="18"/>
  <c r="H18" i="18"/>
  <c r="I18" i="18"/>
  <c r="Q18" i="18"/>
  <c r="K18" i="18"/>
  <c r="L18" i="18"/>
  <c r="F18" i="18"/>
  <c r="R18" i="18"/>
  <c r="O18" i="18"/>
  <c r="D13" i="15"/>
  <c r="D14" i="32"/>
  <c r="D17" i="32"/>
  <c r="F6" i="32"/>
  <c r="S131" i="20"/>
  <c r="S126" i="20"/>
  <c r="H31" i="8"/>
  <c r="H69" i="9"/>
  <c r="D107" i="9"/>
  <c r="H152" i="18"/>
  <c r="J42" i="25"/>
  <c r="H32" i="8"/>
  <c r="H70" i="9"/>
  <c r="H42" i="8"/>
  <c r="H80" i="9"/>
  <c r="O122" i="21"/>
  <c r="G78" i="9"/>
  <c r="K120" i="21"/>
  <c r="H120" i="21"/>
  <c r="O120" i="21"/>
  <c r="I119" i="22"/>
  <c r="H75" i="9"/>
  <c r="H120" i="22"/>
  <c r="I120" i="21"/>
  <c r="F95" i="22"/>
  <c r="S19" i="19"/>
  <c r="S27" i="21"/>
  <c r="S27" i="22"/>
  <c r="S27" i="29"/>
  <c r="H55" i="8"/>
  <c r="S142" i="19"/>
  <c r="S143" i="19"/>
  <c r="R16" i="25"/>
  <c r="R19" i="25"/>
  <c r="H136" i="20"/>
  <c r="I136" i="20"/>
  <c r="F136" i="20"/>
  <c r="H54" i="8"/>
  <c r="K137" i="22"/>
  <c r="M136" i="20"/>
  <c r="O136" i="20"/>
  <c r="H53" i="8"/>
  <c r="I136" i="22"/>
  <c r="D136" i="21"/>
  <c r="O121" i="20"/>
  <c r="L121" i="20"/>
  <c r="M121" i="20"/>
  <c r="D131" i="21"/>
  <c r="G95" i="22"/>
  <c r="N120" i="22"/>
  <c r="M120" i="22"/>
  <c r="G121" i="20"/>
  <c r="D121" i="20"/>
  <c r="I121" i="20"/>
  <c r="S121" i="20"/>
  <c r="H95" i="22"/>
  <c r="O95" i="22"/>
  <c r="O120" i="22"/>
  <c r="I120" i="22"/>
  <c r="K120" i="22"/>
  <c r="S72" i="19"/>
  <c r="F126" i="22"/>
  <c r="K126" i="22"/>
  <c r="J126" i="22"/>
  <c r="O126" i="22"/>
  <c r="M126" i="22"/>
  <c r="F131" i="21"/>
  <c r="J131" i="21"/>
  <c r="N131" i="21"/>
  <c r="K131" i="21"/>
  <c r="F93" i="22"/>
  <c r="S107" i="22"/>
  <c r="L126" i="22"/>
  <c r="I131" i="21"/>
  <c r="H131" i="21"/>
  <c r="E131" i="21"/>
  <c r="L131" i="21"/>
  <c r="M131" i="21"/>
  <c r="O131" i="21"/>
  <c r="J121" i="20"/>
  <c r="F121" i="20"/>
  <c r="N95" i="22"/>
  <c r="I95" i="22"/>
  <c r="F120" i="22"/>
  <c r="L120" i="22"/>
  <c r="S107" i="19"/>
  <c r="S131" i="19"/>
  <c r="S153" i="22"/>
  <c r="E116" i="20"/>
  <c r="G116" i="20"/>
  <c r="I116" i="20"/>
  <c r="H116" i="20"/>
  <c r="K116" i="20"/>
  <c r="L116" i="20"/>
  <c r="O116" i="20"/>
  <c r="N116" i="20"/>
  <c r="R18" i="25"/>
  <c r="E126" i="22"/>
  <c r="G126" i="22"/>
  <c r="I126" i="22"/>
  <c r="H126" i="22"/>
  <c r="N126" i="22"/>
  <c r="L95" i="22"/>
  <c r="E95" i="22"/>
  <c r="L19" i="21"/>
  <c r="R19" i="21"/>
  <c r="F19" i="21"/>
  <c r="D19" i="21"/>
  <c r="E19" i="21"/>
  <c r="G19" i="21"/>
  <c r="H19" i="21"/>
  <c r="I19" i="21"/>
  <c r="J19" i="21"/>
  <c r="K19" i="21"/>
  <c r="M19" i="21"/>
  <c r="O19" i="21"/>
  <c r="P19" i="21"/>
  <c r="Q19" i="21"/>
  <c r="S19" i="21"/>
  <c r="O118" i="22"/>
  <c r="H15" i="15"/>
  <c r="E19" i="20"/>
  <c r="R19" i="20"/>
  <c r="G19" i="20"/>
  <c r="O19" i="20"/>
  <c r="F19" i="20"/>
  <c r="I19" i="20"/>
  <c r="D19" i="20"/>
  <c r="P19" i="20"/>
  <c r="M19" i="20"/>
  <c r="L19" i="20"/>
  <c r="Q19" i="20"/>
  <c r="H19" i="20"/>
  <c r="J19" i="20"/>
  <c r="K19" i="20"/>
  <c r="N19" i="20"/>
  <c r="S143" i="20"/>
  <c r="S125" i="19"/>
  <c r="E74" i="8"/>
  <c r="E107" i="9"/>
  <c r="F13" i="15"/>
  <c r="K17" i="20"/>
  <c r="H13" i="15"/>
  <c r="G10" i="15"/>
  <c r="N14" i="21"/>
  <c r="G6" i="32"/>
  <c r="N152" i="18"/>
  <c r="P42" i="25"/>
  <c r="F152" i="18"/>
  <c r="H42" i="25"/>
  <c r="L152" i="18"/>
  <c r="N42" i="25"/>
  <c r="H135" i="21"/>
  <c r="G135" i="21"/>
  <c r="I135" i="21"/>
  <c r="N135" i="21"/>
  <c r="D135" i="21"/>
  <c r="E135" i="21"/>
  <c r="J135" i="21"/>
  <c r="L135" i="21"/>
  <c r="K135" i="21"/>
  <c r="M135" i="21"/>
  <c r="O135" i="21"/>
  <c r="F135" i="21"/>
  <c r="D136" i="22"/>
  <c r="E136" i="22"/>
  <c r="G136" i="22"/>
  <c r="N142" i="22"/>
  <c r="E142" i="22"/>
  <c r="L142" i="22"/>
  <c r="I142" i="22"/>
  <c r="G142" i="22"/>
  <c r="D142" i="22"/>
  <c r="O142" i="22"/>
  <c r="F142" i="22"/>
  <c r="M142" i="22"/>
  <c r="J142" i="22"/>
  <c r="K142" i="22"/>
  <c r="H142" i="22"/>
  <c r="F141" i="22"/>
  <c r="E141" i="22"/>
  <c r="O141" i="22"/>
  <c r="K141" i="22"/>
  <c r="I141" i="22"/>
  <c r="N141" i="22"/>
  <c r="M141" i="22"/>
  <c r="D141" i="22"/>
  <c r="J141" i="22"/>
  <c r="H141" i="22"/>
  <c r="G141" i="22"/>
  <c r="L141" i="22"/>
  <c r="I131" i="22"/>
  <c r="H131" i="22"/>
  <c r="E131" i="22"/>
  <c r="L131" i="22"/>
  <c r="M131" i="22"/>
  <c r="I143" i="22"/>
  <c r="D143" i="22"/>
  <c r="K143" i="22"/>
  <c r="N143" i="22"/>
  <c r="F143" i="22"/>
  <c r="M143" i="22"/>
  <c r="J143" i="22"/>
  <c r="G143" i="22"/>
  <c r="L143" i="22"/>
  <c r="H143" i="22"/>
  <c r="O143" i="22"/>
  <c r="E143" i="22"/>
  <c r="L136" i="21"/>
  <c r="O136" i="21"/>
  <c r="E136" i="21"/>
  <c r="H142" i="21"/>
  <c r="M142" i="21"/>
  <c r="E142" i="21"/>
  <c r="N142" i="21"/>
  <c r="F142" i="21"/>
  <c r="K142" i="21"/>
  <c r="J142" i="21"/>
  <c r="L142" i="21"/>
  <c r="D142" i="21"/>
  <c r="I142" i="21"/>
  <c r="O142" i="21"/>
  <c r="G142" i="21"/>
  <c r="H141" i="21"/>
  <c r="E141" i="21"/>
  <c r="O141" i="21"/>
  <c r="J141" i="21"/>
  <c r="M141" i="21"/>
  <c r="G141" i="21"/>
  <c r="L141" i="21"/>
  <c r="N141" i="21"/>
  <c r="D141" i="21"/>
  <c r="F141" i="21"/>
  <c r="I141" i="21"/>
  <c r="K141" i="21"/>
  <c r="F143" i="21"/>
  <c r="M143" i="21"/>
  <c r="J143" i="21"/>
  <c r="G143" i="21"/>
  <c r="N143" i="21"/>
  <c r="H143" i="21"/>
  <c r="K143" i="21"/>
  <c r="E143" i="21"/>
  <c r="I143" i="21"/>
  <c r="D143" i="21"/>
  <c r="O143" i="21"/>
  <c r="L143" i="21"/>
  <c r="J138" i="21"/>
  <c r="K138" i="21"/>
  <c r="F138" i="21"/>
  <c r="H138" i="21"/>
  <c r="L138" i="21"/>
  <c r="E138" i="21"/>
  <c r="D138" i="21"/>
  <c r="O138" i="21"/>
  <c r="M138" i="21"/>
  <c r="N138" i="21"/>
  <c r="I138" i="21"/>
  <c r="G138" i="21"/>
  <c r="K137" i="21"/>
  <c r="J137" i="21"/>
  <c r="M137" i="21"/>
  <c r="D137" i="21"/>
  <c r="G137" i="21"/>
  <c r="F137" i="21"/>
  <c r="L137" i="21"/>
  <c r="O137" i="21"/>
  <c r="E137" i="21"/>
  <c r="N137" i="21"/>
  <c r="I137" i="21"/>
  <c r="H137" i="21"/>
  <c r="G140" i="22"/>
  <c r="F140" i="22"/>
  <c r="K140" i="22"/>
  <c r="L140" i="22"/>
  <c r="O140" i="22"/>
  <c r="M140" i="22"/>
  <c r="D140" i="22"/>
  <c r="E140" i="22"/>
  <c r="I140" i="22"/>
  <c r="H140" i="22"/>
  <c r="J140" i="22"/>
  <c r="N140" i="22"/>
  <c r="I139" i="22"/>
  <c r="J139" i="22"/>
  <c r="F139" i="22"/>
  <c r="L139" i="22"/>
  <c r="N139" i="22"/>
  <c r="G139" i="22"/>
  <c r="D139" i="22"/>
  <c r="E139" i="22"/>
  <c r="O139" i="22"/>
  <c r="K139" i="22"/>
  <c r="M139" i="22"/>
  <c r="H139" i="22"/>
  <c r="O135" i="22"/>
  <c r="H135" i="22"/>
  <c r="E135" i="22"/>
  <c r="N135" i="22"/>
  <c r="K135" i="22"/>
  <c r="I135" i="22"/>
  <c r="F135" i="22"/>
  <c r="J135" i="22"/>
  <c r="D135" i="22"/>
  <c r="G135" i="22"/>
  <c r="L135" i="22"/>
  <c r="M135" i="22"/>
  <c r="N138" i="22"/>
  <c r="L138" i="22"/>
  <c r="E138" i="22"/>
  <c r="F138" i="22"/>
  <c r="D138" i="22"/>
  <c r="J138" i="22"/>
  <c r="K138" i="22"/>
  <c r="O138" i="22"/>
  <c r="G138" i="22"/>
  <c r="H138" i="22"/>
  <c r="I138" i="22"/>
  <c r="M138" i="22"/>
  <c r="F137" i="22"/>
  <c r="E137" i="22"/>
  <c r="O137" i="22"/>
  <c r="L140" i="21"/>
  <c r="I140" i="21"/>
  <c r="J140" i="21"/>
  <c r="G140" i="21"/>
  <c r="D140" i="21"/>
  <c r="O140" i="21"/>
  <c r="E140" i="21"/>
  <c r="N140" i="21"/>
  <c r="H140" i="21"/>
  <c r="F140" i="21"/>
  <c r="M140" i="21"/>
  <c r="K140" i="21"/>
  <c r="J139" i="21"/>
  <c r="G139" i="21"/>
  <c r="H139" i="21"/>
  <c r="E139" i="21"/>
  <c r="O139" i="21"/>
  <c r="M139" i="21"/>
  <c r="N139" i="21"/>
  <c r="D139" i="21"/>
  <c r="F139" i="21"/>
  <c r="I139" i="21"/>
  <c r="K139" i="21"/>
  <c r="L139" i="21"/>
  <c r="S95" i="22"/>
  <c r="H10" i="15"/>
  <c r="N14" i="22"/>
  <c r="L16" i="22"/>
  <c r="H6" i="32"/>
  <c r="F10" i="15"/>
  <c r="N14" i="20"/>
  <c r="I16" i="18"/>
  <c r="D14" i="18"/>
  <c r="E10" i="15"/>
  <c r="H12" i="9"/>
  <c r="H29" i="9"/>
  <c r="H14" i="9"/>
  <c r="H21" i="9"/>
  <c r="H28" i="9"/>
  <c r="H26" i="9"/>
  <c r="O72" i="22"/>
  <c r="S101" i="10"/>
  <c r="S115" i="19"/>
  <c r="S116" i="19"/>
  <c r="D72" i="20"/>
  <c r="E72" i="20"/>
  <c r="I72" i="20"/>
  <c r="F72" i="20"/>
  <c r="G72" i="20"/>
  <c r="L72" i="20"/>
  <c r="N72" i="20"/>
  <c r="K72" i="20"/>
  <c r="J72" i="20"/>
  <c r="O72" i="20"/>
  <c r="M72" i="20"/>
  <c r="H72" i="20"/>
  <c r="G29" i="9"/>
  <c r="H75" i="21"/>
  <c r="G12" i="9"/>
  <c r="G14" i="9"/>
  <c r="I60" i="21"/>
  <c r="G26" i="9"/>
  <c r="G28" i="9"/>
  <c r="E74" i="21"/>
  <c r="G21" i="9"/>
  <c r="H67" i="21"/>
  <c r="I7" i="13"/>
  <c r="G9" i="9"/>
  <c r="G56" i="21"/>
  <c r="G134" i="22"/>
  <c r="F134" i="22"/>
  <c r="L134" i="22"/>
  <c r="O134" i="22"/>
  <c r="D134" i="22"/>
  <c r="H134" i="22"/>
  <c r="M134" i="22"/>
  <c r="J134" i="22"/>
  <c r="I134" i="22"/>
  <c r="N134" i="22"/>
  <c r="E134" i="22"/>
  <c r="K134" i="22"/>
  <c r="H119" i="22"/>
  <c r="S129" i="19"/>
  <c r="K119" i="22"/>
  <c r="F133" i="22"/>
  <c r="H133" i="22"/>
  <c r="G133" i="22"/>
  <c r="K133" i="22"/>
  <c r="L133" i="22"/>
  <c r="E133" i="22"/>
  <c r="O133" i="22"/>
  <c r="N133" i="22"/>
  <c r="M133" i="22"/>
  <c r="D133" i="22"/>
  <c r="J133" i="22"/>
  <c r="I133" i="22"/>
  <c r="O119" i="22"/>
  <c r="S120" i="21"/>
  <c r="S122" i="19"/>
  <c r="S120" i="20"/>
  <c r="S117" i="19"/>
  <c r="S126" i="19"/>
  <c r="M119" i="22"/>
  <c r="J119" i="22"/>
  <c r="F119" i="22"/>
  <c r="I122" i="21"/>
  <c r="M122" i="22"/>
  <c r="S118" i="19"/>
  <c r="D119" i="22"/>
  <c r="E119" i="22"/>
  <c r="G119" i="22"/>
  <c r="S123" i="19"/>
  <c r="D122" i="22"/>
  <c r="L121" i="21"/>
  <c r="H39" i="8"/>
  <c r="H77" i="9"/>
  <c r="L122" i="22"/>
  <c r="S114" i="19"/>
  <c r="S119" i="19"/>
  <c r="S113" i="19"/>
  <c r="H122" i="22"/>
  <c r="N122" i="21"/>
  <c r="K122" i="21"/>
  <c r="M122" i="21"/>
  <c r="D112" i="22"/>
  <c r="N119" i="22"/>
  <c r="L119" i="22"/>
  <c r="G122" i="21"/>
  <c r="G122" i="22"/>
  <c r="H122" i="21"/>
  <c r="I116" i="21"/>
  <c r="H33" i="8"/>
  <c r="O122" i="22"/>
  <c r="S95" i="21"/>
  <c r="S94" i="20"/>
  <c r="P17" i="20"/>
  <c r="M16" i="18"/>
  <c r="Q16" i="18"/>
  <c r="D16" i="18"/>
  <c r="G16" i="18"/>
  <c r="E16" i="18"/>
  <c r="H16" i="18"/>
  <c r="R16" i="18"/>
  <c r="N16" i="18"/>
  <c r="E17" i="15"/>
  <c r="Q21" i="19"/>
  <c r="P41" i="18"/>
  <c r="P50" i="18"/>
  <c r="J17" i="20"/>
  <c r="D17" i="20"/>
  <c r="N17" i="20"/>
  <c r="E17" i="20"/>
  <c r="M17" i="20"/>
  <c r="F17" i="15"/>
  <c r="P21" i="20"/>
  <c r="S107" i="20"/>
  <c r="S112" i="20"/>
  <c r="I129" i="21"/>
  <c r="O129" i="21"/>
  <c r="M129" i="21"/>
  <c r="J129" i="21"/>
  <c r="N129" i="21"/>
  <c r="E129" i="21"/>
  <c r="L129" i="21"/>
  <c r="F129" i="21"/>
  <c r="H129" i="21"/>
  <c r="D129" i="21"/>
  <c r="G129" i="21"/>
  <c r="K129" i="21"/>
  <c r="F129" i="22"/>
  <c r="E129" i="22"/>
  <c r="D129" i="22"/>
  <c r="N129" i="22"/>
  <c r="H129" i="22"/>
  <c r="K129" i="22"/>
  <c r="J129" i="22"/>
  <c r="M129" i="22"/>
  <c r="L129" i="22"/>
  <c r="O129" i="22"/>
  <c r="G129" i="22"/>
  <c r="I129" i="22"/>
  <c r="F108" i="19"/>
  <c r="S95" i="20"/>
  <c r="S94" i="21"/>
  <c r="S91" i="20"/>
  <c r="S107" i="21"/>
  <c r="S119" i="21"/>
  <c r="S127" i="19"/>
  <c r="S111" i="21"/>
  <c r="S111" i="19"/>
  <c r="G96" i="21"/>
  <c r="E96" i="21"/>
  <c r="F96" i="21"/>
  <c r="O96" i="21"/>
  <c r="L96" i="21"/>
  <c r="I96" i="21"/>
  <c r="J96" i="21"/>
  <c r="M96" i="21"/>
  <c r="D96" i="21"/>
  <c r="H96" i="21"/>
  <c r="N96" i="21"/>
  <c r="K96" i="21"/>
  <c r="S96" i="20"/>
  <c r="N96" i="22"/>
  <c r="J96" i="22"/>
  <c r="I96" i="22"/>
  <c r="L96" i="22"/>
  <c r="E96" i="22"/>
  <c r="H96" i="22"/>
  <c r="F96" i="22"/>
  <c r="D96" i="22"/>
  <c r="G96" i="22"/>
  <c r="K96" i="22"/>
  <c r="M96" i="22"/>
  <c r="O96" i="22"/>
  <c r="S95" i="19"/>
  <c r="G108" i="19"/>
  <c r="S91" i="19"/>
  <c r="E21" i="32"/>
  <c r="S122" i="20"/>
  <c r="H93" i="22"/>
  <c r="S92" i="19"/>
  <c r="E13" i="15"/>
  <c r="J16" i="19"/>
  <c r="H17" i="20"/>
  <c r="G17" i="15"/>
  <c r="I6" i="32"/>
  <c r="H17" i="15"/>
  <c r="P16" i="22"/>
  <c r="F16" i="22"/>
  <c r="Q16" i="22"/>
  <c r="J16" i="22"/>
  <c r="K16" i="22"/>
  <c r="O16" i="22"/>
  <c r="I16" i="22"/>
  <c r="R16" i="22"/>
  <c r="N16" i="22"/>
  <c r="M16" i="22"/>
  <c r="E16" i="22"/>
  <c r="D41" i="22"/>
  <c r="H41" i="22"/>
  <c r="H50" i="22"/>
  <c r="O41" i="22"/>
  <c r="O50" i="22"/>
  <c r="L41" i="22"/>
  <c r="L50" i="22"/>
  <c r="H46" i="15"/>
  <c r="L10" i="16"/>
  <c r="G41" i="22"/>
  <c r="G50" i="22"/>
  <c r="M41" i="22"/>
  <c r="M50" i="22"/>
  <c r="E41" i="22"/>
  <c r="E50" i="22"/>
  <c r="R41" i="22"/>
  <c r="R50" i="22"/>
  <c r="Q41" i="22"/>
  <c r="N41" i="22"/>
  <c r="N50" i="22"/>
  <c r="K41" i="22"/>
  <c r="K50" i="22"/>
  <c r="J41" i="22"/>
  <c r="J50" i="22"/>
  <c r="P41" i="22"/>
  <c r="P50" i="22"/>
  <c r="F41" i="22"/>
  <c r="I41" i="22"/>
  <c r="I50" i="22"/>
  <c r="S73" i="18"/>
  <c r="S86" i="21"/>
  <c r="S87" i="22"/>
  <c r="S86" i="18"/>
  <c r="S87" i="18"/>
  <c r="S87" i="21"/>
  <c r="M7" i="11"/>
  <c r="S101" i="1"/>
  <c r="K7" i="12"/>
  <c r="M7" i="12"/>
  <c r="W12" i="1"/>
  <c r="X12" i="1"/>
  <c r="S99" i="1"/>
  <c r="S87" i="20"/>
  <c r="S86" i="22"/>
  <c r="K7" i="13"/>
  <c r="I99" i="12"/>
  <c r="T14" i="13"/>
  <c r="T11" i="13"/>
  <c r="T15" i="13"/>
  <c r="T10" i="13"/>
  <c r="T8" i="13"/>
  <c r="T12" i="13"/>
  <c r="T16" i="13"/>
  <c r="T13" i="13"/>
  <c r="T9" i="13"/>
  <c r="T17" i="13"/>
  <c r="O7" i="11"/>
  <c r="O99" i="11"/>
  <c r="F35" i="9"/>
  <c r="S15" i="13"/>
  <c r="S10" i="13"/>
  <c r="S14" i="13"/>
  <c r="S11" i="13"/>
  <c r="S16" i="13"/>
  <c r="S8" i="13"/>
  <c r="S12" i="13"/>
  <c r="S9" i="13"/>
  <c r="S17" i="13"/>
  <c r="S13" i="13"/>
  <c r="J86" i="19"/>
  <c r="L86" i="19"/>
  <c r="O86" i="19"/>
  <c r="M86" i="19"/>
  <c r="T7" i="11"/>
  <c r="S7" i="11"/>
  <c r="D69" i="20"/>
  <c r="S86" i="20"/>
  <c r="F86" i="19"/>
  <c r="G86" i="19"/>
  <c r="H86" i="19"/>
  <c r="I86" i="19"/>
  <c r="N86" i="19"/>
  <c r="D86" i="19"/>
  <c r="E86" i="19"/>
  <c r="K58" i="19"/>
  <c r="F58" i="19"/>
  <c r="H70" i="20"/>
  <c r="J87" i="19"/>
  <c r="N87" i="19"/>
  <c r="O58" i="19"/>
  <c r="N70" i="20"/>
  <c r="H58" i="19"/>
  <c r="E58" i="19"/>
  <c r="I87" i="19"/>
  <c r="M87" i="19"/>
  <c r="F87" i="19"/>
  <c r="I58" i="19"/>
  <c r="J70" i="20"/>
  <c r="H87" i="19"/>
  <c r="G87" i="19"/>
  <c r="O87" i="19"/>
  <c r="D87" i="19"/>
  <c r="D61" i="20"/>
  <c r="E61" i="20"/>
  <c r="H61" i="20"/>
  <c r="F30" i="15"/>
  <c r="H9" i="16"/>
  <c r="S132" i="20"/>
  <c r="L132" i="21"/>
  <c r="I132" i="21"/>
  <c r="E132" i="21"/>
  <c r="O132" i="21"/>
  <c r="G132" i="21"/>
  <c r="H132" i="21"/>
  <c r="F132" i="21"/>
  <c r="K132" i="21"/>
  <c r="N132" i="21"/>
  <c r="D132" i="21"/>
  <c r="J132" i="21"/>
  <c r="M132" i="21"/>
  <c r="M132" i="22"/>
  <c r="F132" i="22"/>
  <c r="E132" i="22"/>
  <c r="H132" i="22"/>
  <c r="J132" i="22"/>
  <c r="K132" i="22"/>
  <c r="G132" i="22"/>
  <c r="N132" i="22"/>
  <c r="D132" i="22"/>
  <c r="O132" i="22"/>
  <c r="I132" i="22"/>
  <c r="L132" i="22"/>
  <c r="I127" i="21"/>
  <c r="G127" i="21"/>
  <c r="L127" i="21"/>
  <c r="M127" i="21"/>
  <c r="H127" i="21"/>
  <c r="N127" i="21"/>
  <c r="F127" i="21"/>
  <c r="D127" i="21"/>
  <c r="J127" i="21"/>
  <c r="E127" i="21"/>
  <c r="K127" i="21"/>
  <c r="O127" i="21"/>
  <c r="G127" i="22"/>
  <c r="E127" i="22"/>
  <c r="O127" i="22"/>
  <c r="M127" i="22"/>
  <c r="I127" i="22"/>
  <c r="L127" i="22"/>
  <c r="F127" i="22"/>
  <c r="N127" i="22"/>
  <c r="D127" i="22"/>
  <c r="J127" i="22"/>
  <c r="H127" i="22"/>
  <c r="K127" i="22"/>
  <c r="S127" i="20"/>
  <c r="I125" i="22"/>
  <c r="O125" i="22"/>
  <c r="N125" i="22"/>
  <c r="M125" i="22"/>
  <c r="E125" i="22"/>
  <c r="H125" i="22"/>
  <c r="K125" i="22"/>
  <c r="F125" i="22"/>
  <c r="G125" i="22"/>
  <c r="J125" i="22"/>
  <c r="D125" i="22"/>
  <c r="L125" i="22"/>
  <c r="S125" i="20"/>
  <c r="O125" i="21"/>
  <c r="M125" i="21"/>
  <c r="J125" i="21"/>
  <c r="D125" i="21"/>
  <c r="G125" i="21"/>
  <c r="E125" i="21"/>
  <c r="K125" i="21"/>
  <c r="N125" i="21"/>
  <c r="F125" i="21"/>
  <c r="H125" i="21"/>
  <c r="L125" i="21"/>
  <c r="I125" i="21"/>
  <c r="S124" i="19"/>
  <c r="I124" i="22"/>
  <c r="D124" i="22"/>
  <c r="K124" i="22"/>
  <c r="E124" i="22"/>
  <c r="O124" i="22"/>
  <c r="N124" i="22"/>
  <c r="H124" i="22"/>
  <c r="J124" i="22"/>
  <c r="M124" i="22"/>
  <c r="G124" i="22"/>
  <c r="L124" i="22"/>
  <c r="F124" i="22"/>
  <c r="O124" i="21"/>
  <c r="I124" i="21"/>
  <c r="F124" i="21"/>
  <c r="D124" i="21"/>
  <c r="K124" i="21"/>
  <c r="L124" i="21"/>
  <c r="M124" i="21"/>
  <c r="N124" i="21"/>
  <c r="E124" i="21"/>
  <c r="H124" i="21"/>
  <c r="J124" i="21"/>
  <c r="G124" i="21"/>
  <c r="S124" i="20"/>
  <c r="K123" i="22"/>
  <c r="M123" i="22"/>
  <c r="F123" i="22"/>
  <c r="H123" i="22"/>
  <c r="G123" i="22"/>
  <c r="D123" i="22"/>
  <c r="L123" i="22"/>
  <c r="O123" i="22"/>
  <c r="I123" i="22"/>
  <c r="E123" i="22"/>
  <c r="J123" i="22"/>
  <c r="N123" i="22"/>
  <c r="S123" i="20"/>
  <c r="J123" i="21"/>
  <c r="M123" i="21"/>
  <c r="F123" i="21"/>
  <c r="I123" i="21"/>
  <c r="O123" i="21"/>
  <c r="K123" i="21"/>
  <c r="D123" i="21"/>
  <c r="H123" i="21"/>
  <c r="N123" i="21"/>
  <c r="L123" i="21"/>
  <c r="G123" i="21"/>
  <c r="E123" i="21"/>
  <c r="L121" i="22"/>
  <c r="K121" i="22"/>
  <c r="I121" i="22"/>
  <c r="J121" i="22"/>
  <c r="O121" i="22"/>
  <c r="H121" i="22"/>
  <c r="G121" i="22"/>
  <c r="E121" i="22"/>
  <c r="D121" i="22"/>
  <c r="F121" i="22"/>
  <c r="M121" i="22"/>
  <c r="N121" i="22"/>
  <c r="S119" i="20"/>
  <c r="S118" i="20"/>
  <c r="O118" i="21"/>
  <c r="N118" i="21"/>
  <c r="J118" i="21"/>
  <c r="L118" i="21"/>
  <c r="G118" i="21"/>
  <c r="D118" i="21"/>
  <c r="H118" i="21"/>
  <c r="I118" i="21"/>
  <c r="E118" i="21"/>
  <c r="F118" i="21"/>
  <c r="K118" i="21"/>
  <c r="M118" i="21"/>
  <c r="E118" i="22"/>
  <c r="D118" i="22"/>
  <c r="F118" i="22"/>
  <c r="H118" i="22"/>
  <c r="G118" i="22"/>
  <c r="N118" i="22"/>
  <c r="J117" i="21"/>
  <c r="K117" i="21"/>
  <c r="L117" i="21"/>
  <c r="I117" i="21"/>
  <c r="E117" i="21"/>
  <c r="N117" i="21"/>
  <c r="M117" i="21"/>
  <c r="D117" i="21"/>
  <c r="G117" i="21"/>
  <c r="H117" i="21"/>
  <c r="F117" i="21"/>
  <c r="O117" i="21"/>
  <c r="S117" i="20"/>
  <c r="G117" i="22"/>
  <c r="J117" i="22"/>
  <c r="M117" i="22"/>
  <c r="H117" i="22"/>
  <c r="K117" i="22"/>
  <c r="F117" i="22"/>
  <c r="L117" i="22"/>
  <c r="O117" i="22"/>
  <c r="E117" i="22"/>
  <c r="I117" i="22"/>
  <c r="D117" i="22"/>
  <c r="N117" i="22"/>
  <c r="S115" i="20"/>
  <c r="S115" i="22"/>
  <c r="S115" i="21"/>
  <c r="S114" i="20"/>
  <c r="O114" i="21"/>
  <c r="L114" i="21"/>
  <c r="K114" i="21"/>
  <c r="D114" i="21"/>
  <c r="F114" i="21"/>
  <c r="E114" i="21"/>
  <c r="M114" i="21"/>
  <c r="N114" i="21"/>
  <c r="H114" i="21"/>
  <c r="G114" i="21"/>
  <c r="J114" i="21"/>
  <c r="I114" i="21"/>
  <c r="D114" i="22"/>
  <c r="K114" i="22"/>
  <c r="E114" i="22"/>
  <c r="M114" i="22"/>
  <c r="O114" i="22"/>
  <c r="N114" i="22"/>
  <c r="F114" i="22"/>
  <c r="G114" i="22"/>
  <c r="H114" i="22"/>
  <c r="I114" i="22"/>
  <c r="L114" i="22"/>
  <c r="J114" i="22"/>
  <c r="S113" i="20"/>
  <c r="M113" i="22"/>
  <c r="L113" i="22"/>
  <c r="N113" i="22"/>
  <c r="K113" i="22"/>
  <c r="D113" i="22"/>
  <c r="H113" i="22"/>
  <c r="O113" i="22"/>
  <c r="G113" i="22"/>
  <c r="I113" i="22"/>
  <c r="J113" i="22"/>
  <c r="E113" i="22"/>
  <c r="F113" i="22"/>
  <c r="L113" i="21"/>
  <c r="K113" i="21"/>
  <c r="I113" i="21"/>
  <c r="F113" i="21"/>
  <c r="N113" i="21"/>
  <c r="O113" i="21"/>
  <c r="J113" i="21"/>
  <c r="G113" i="21"/>
  <c r="M113" i="21"/>
  <c r="E113" i="21"/>
  <c r="D113" i="21"/>
  <c r="H113" i="21"/>
  <c r="N112" i="21"/>
  <c r="O112" i="21"/>
  <c r="E112" i="21"/>
  <c r="K112" i="21"/>
  <c r="I112" i="21"/>
  <c r="M112" i="21"/>
  <c r="J112" i="21"/>
  <c r="G112" i="21"/>
  <c r="F112" i="21"/>
  <c r="D112" i="21"/>
  <c r="H112" i="21"/>
  <c r="S112" i="19"/>
  <c r="S111" i="22"/>
  <c r="S111" i="20"/>
  <c r="I93" i="22"/>
  <c r="M93" i="22"/>
  <c r="E93" i="22"/>
  <c r="J93" i="22"/>
  <c r="D93" i="22"/>
  <c r="O93" i="22"/>
  <c r="K93" i="22"/>
  <c r="N93" i="22"/>
  <c r="M93" i="21"/>
  <c r="J93" i="21"/>
  <c r="K93" i="21"/>
  <c r="O93" i="21"/>
  <c r="I93" i="21"/>
  <c r="N93" i="21"/>
  <c r="D93" i="21"/>
  <c r="E93" i="21"/>
  <c r="L93" i="21"/>
  <c r="F93" i="21"/>
  <c r="G93" i="21"/>
  <c r="H93" i="21"/>
  <c r="L93" i="22"/>
  <c r="S93" i="20"/>
  <c r="S93" i="19"/>
  <c r="S92" i="20"/>
  <c r="O92" i="21"/>
  <c r="J92" i="21"/>
  <c r="H92" i="21"/>
  <c r="K92" i="21"/>
  <c r="L92" i="21"/>
  <c r="M92" i="21"/>
  <c r="G92" i="21"/>
  <c r="F92" i="21"/>
  <c r="D92" i="21"/>
  <c r="N92" i="21"/>
  <c r="E92" i="21"/>
  <c r="I92" i="21"/>
  <c r="E92" i="22"/>
  <c r="D92" i="22"/>
  <c r="N92" i="22"/>
  <c r="O92" i="22"/>
  <c r="H92" i="22"/>
  <c r="K92" i="22"/>
  <c r="I92" i="22"/>
  <c r="L92" i="22"/>
  <c r="G92" i="22"/>
  <c r="J92" i="22"/>
  <c r="M92" i="22"/>
  <c r="F92" i="22"/>
  <c r="K91" i="22"/>
  <c r="G91" i="22"/>
  <c r="J91" i="22"/>
  <c r="I91" i="22"/>
  <c r="E91" i="22"/>
  <c r="M91" i="22"/>
  <c r="O91" i="22"/>
  <c r="N91" i="22"/>
  <c r="H91" i="22"/>
  <c r="D91" i="22"/>
  <c r="L91" i="22"/>
  <c r="J91" i="21"/>
  <c r="N91" i="21"/>
  <c r="H91" i="21"/>
  <c r="M91" i="21"/>
  <c r="E91" i="21"/>
  <c r="G91" i="21"/>
  <c r="D91" i="21"/>
  <c r="L91" i="21"/>
  <c r="K91" i="21"/>
  <c r="I91" i="21"/>
  <c r="O91" i="21"/>
  <c r="M21" i="20"/>
  <c r="L21" i="20"/>
  <c r="H21" i="20"/>
  <c r="J21" i="20"/>
  <c r="F21" i="20"/>
  <c r="E21" i="20"/>
  <c r="R21" i="20"/>
  <c r="K21" i="20"/>
  <c r="M41" i="19"/>
  <c r="M50" i="19"/>
  <c r="Q41" i="19"/>
  <c r="Q50" i="19"/>
  <c r="K41" i="19"/>
  <c r="K50" i="19"/>
  <c r="N41" i="19"/>
  <c r="N50" i="19"/>
  <c r="D41" i="19"/>
  <c r="H41" i="19"/>
  <c r="H50" i="19"/>
  <c r="R41" i="19"/>
  <c r="R50" i="19"/>
  <c r="J41" i="19"/>
  <c r="J50" i="19"/>
  <c r="L41" i="19"/>
  <c r="L50" i="19"/>
  <c r="I41" i="19"/>
  <c r="I50" i="19"/>
  <c r="P41" i="19"/>
  <c r="P50" i="19"/>
  <c r="E41" i="19"/>
  <c r="E50" i="19"/>
  <c r="G41" i="19"/>
  <c r="G50" i="19"/>
  <c r="O41" i="19"/>
  <c r="O50" i="19"/>
  <c r="F41" i="19"/>
  <c r="F50" i="19"/>
  <c r="E46" i="15"/>
  <c r="F10" i="16"/>
  <c r="G21" i="20"/>
  <c r="I21" i="20"/>
  <c r="G21" i="19"/>
  <c r="N28" i="19"/>
  <c r="I28" i="19"/>
  <c r="G28" i="19"/>
  <c r="P28" i="19"/>
  <c r="Q28" i="19"/>
  <c r="M28" i="19"/>
  <c r="H28" i="19"/>
  <c r="O28" i="19"/>
  <c r="E30" i="15"/>
  <c r="F9" i="16"/>
  <c r="R28" i="19"/>
  <c r="K28" i="19"/>
  <c r="F28" i="19"/>
  <c r="J28" i="19"/>
  <c r="E28" i="19"/>
  <c r="D28" i="19"/>
  <c r="L28" i="19"/>
  <c r="R29" i="19"/>
  <c r="N29" i="19"/>
  <c r="P29" i="19"/>
  <c r="Q29" i="19"/>
  <c r="H29" i="19"/>
  <c r="L29" i="19"/>
  <c r="G29" i="19"/>
  <c r="M29" i="19"/>
  <c r="D29" i="19"/>
  <c r="K29" i="19"/>
  <c r="E29" i="19"/>
  <c r="I29" i="19"/>
  <c r="O29" i="19"/>
  <c r="J29" i="19"/>
  <c r="F29" i="19"/>
  <c r="O41" i="18"/>
  <c r="R41" i="18"/>
  <c r="R50" i="18"/>
  <c r="D41" i="18"/>
  <c r="D46" i="15"/>
  <c r="D10" i="16"/>
  <c r="M41" i="18"/>
  <c r="H41" i="18"/>
  <c r="I41" i="18"/>
  <c r="L41" i="18"/>
  <c r="N24" i="15"/>
  <c r="K28" i="20"/>
  <c r="P28" i="20"/>
  <c r="L28" i="20"/>
  <c r="R28" i="20"/>
  <c r="O28" i="20"/>
  <c r="H28" i="20"/>
  <c r="Q28" i="20"/>
  <c r="M28" i="20"/>
  <c r="J28" i="20"/>
  <c r="I28" i="20"/>
  <c r="F28" i="20"/>
  <c r="D28" i="20"/>
  <c r="E28" i="20"/>
  <c r="N28" i="20"/>
  <c r="G28" i="20"/>
  <c r="R29" i="20"/>
  <c r="P29" i="20"/>
  <c r="F29" i="20"/>
  <c r="Q29" i="20"/>
  <c r="Q34" i="20"/>
  <c r="G29" i="20"/>
  <c r="D29" i="20"/>
  <c r="H29" i="20"/>
  <c r="J29" i="20"/>
  <c r="L29" i="20"/>
  <c r="I29" i="20"/>
  <c r="O29" i="20"/>
  <c r="K29" i="20"/>
  <c r="E29" i="20"/>
  <c r="N29" i="20"/>
  <c r="M29" i="20"/>
  <c r="N25" i="15"/>
  <c r="J14" i="20"/>
  <c r="S18" i="20"/>
  <c r="Q14" i="20"/>
  <c r="D14" i="20"/>
  <c r="R17" i="22"/>
  <c r="M17" i="22"/>
  <c r="I17" i="22"/>
  <c r="E17" i="22"/>
  <c r="G17" i="22"/>
  <c r="P17" i="22"/>
  <c r="F17" i="22"/>
  <c r="J17" i="22"/>
  <c r="K17" i="22"/>
  <c r="D17" i="22"/>
  <c r="O17" i="22"/>
  <c r="L17" i="22"/>
  <c r="H17" i="22"/>
  <c r="N17" i="22"/>
  <c r="Q17" i="22"/>
  <c r="F14" i="22"/>
  <c r="E14" i="22"/>
  <c r="P14" i="22"/>
  <c r="E17" i="19"/>
  <c r="Q17" i="19"/>
  <c r="D17" i="19"/>
  <c r="L17" i="19"/>
  <c r="O17" i="19"/>
  <c r="P17" i="19"/>
  <c r="K17" i="19"/>
  <c r="J17" i="19"/>
  <c r="I17" i="19"/>
  <c r="M17" i="19"/>
  <c r="H17" i="19"/>
  <c r="N17" i="19"/>
  <c r="G17" i="19"/>
  <c r="R17" i="19"/>
  <c r="F17" i="19"/>
  <c r="K14" i="19"/>
  <c r="N14" i="19"/>
  <c r="O14" i="19"/>
  <c r="Q14" i="19"/>
  <c r="J14" i="19"/>
  <c r="P14" i="19"/>
  <c r="H14" i="19"/>
  <c r="M14" i="19"/>
  <c r="F14" i="19"/>
  <c r="E14" i="19"/>
  <c r="I14" i="19"/>
  <c r="G14" i="19"/>
  <c r="L14" i="19"/>
  <c r="R14" i="19"/>
  <c r="D14" i="19"/>
  <c r="Q14" i="21"/>
  <c r="E14" i="21"/>
  <c r="O14" i="21"/>
  <c r="R14" i="21"/>
  <c r="H17" i="21"/>
  <c r="M17" i="21"/>
  <c r="R17" i="21"/>
  <c r="K17" i="21"/>
  <c r="I17" i="21"/>
  <c r="E17" i="21"/>
  <c r="N17" i="21"/>
  <c r="P17" i="21"/>
  <c r="L17" i="21"/>
  <c r="F17" i="21"/>
  <c r="G17" i="21"/>
  <c r="Q17" i="21"/>
  <c r="J17" i="21"/>
  <c r="D17" i="21"/>
  <c r="O17" i="21"/>
  <c r="K70" i="20"/>
  <c r="O70" i="20"/>
  <c r="D70" i="20"/>
  <c r="N57" i="20"/>
  <c r="J61" i="20"/>
  <c r="O61" i="20"/>
  <c r="F61" i="20"/>
  <c r="M70" i="20"/>
  <c r="E70" i="20"/>
  <c r="L70" i="20"/>
  <c r="K59" i="20"/>
  <c r="M61" i="20"/>
  <c r="L61" i="20"/>
  <c r="K61" i="20"/>
  <c r="I70" i="20"/>
  <c r="F70" i="20"/>
  <c r="I61" i="20"/>
  <c r="N61" i="20"/>
  <c r="L60" i="20"/>
  <c r="W12" i="11"/>
  <c r="X12" i="11"/>
  <c r="I57" i="20"/>
  <c r="O58" i="20"/>
  <c r="E60" i="20"/>
  <c r="O57" i="20"/>
  <c r="D58" i="20"/>
  <c r="N60" i="20"/>
  <c r="L59" i="20"/>
  <c r="E59" i="20"/>
  <c r="M59" i="20"/>
  <c r="R25" i="25"/>
  <c r="R23" i="25"/>
  <c r="H108" i="19"/>
  <c r="L108" i="19"/>
  <c r="R34" i="25"/>
  <c r="O108" i="20"/>
  <c r="F108" i="20"/>
  <c r="G108" i="20"/>
  <c r="N108" i="20"/>
  <c r="K108" i="19"/>
  <c r="H108" i="20"/>
  <c r="J108" i="20"/>
  <c r="R28" i="25"/>
  <c r="R39" i="25"/>
  <c r="I108" i="19"/>
  <c r="M108" i="19"/>
  <c r="O108" i="19"/>
  <c r="J108" i="19"/>
  <c r="R33" i="25"/>
  <c r="R21" i="25"/>
  <c r="R40" i="25"/>
  <c r="N108" i="19"/>
  <c r="E108" i="19"/>
  <c r="D108" i="19"/>
  <c r="H54" i="9"/>
  <c r="H26" i="8"/>
  <c r="R29" i="25"/>
  <c r="S41" i="25"/>
  <c r="R41" i="25"/>
  <c r="H105" i="21"/>
  <c r="G105" i="21"/>
  <c r="D105" i="21"/>
  <c r="F105" i="21"/>
  <c r="M105" i="21"/>
  <c r="N105" i="21"/>
  <c r="J105" i="21"/>
  <c r="I105" i="21"/>
  <c r="K105" i="21"/>
  <c r="L105" i="21"/>
  <c r="E105" i="21"/>
  <c r="O105" i="21"/>
  <c r="H100" i="22"/>
  <c r="M100" i="22"/>
  <c r="E100" i="22"/>
  <c r="N100" i="22"/>
  <c r="F100" i="22"/>
  <c r="K100" i="22"/>
  <c r="L100" i="22"/>
  <c r="D100" i="22"/>
  <c r="I100" i="22"/>
  <c r="G100" i="22"/>
  <c r="O100" i="22"/>
  <c r="J100" i="22"/>
  <c r="M108" i="20"/>
  <c r="E108" i="20"/>
  <c r="H104" i="22"/>
  <c r="M104" i="22"/>
  <c r="E104" i="22"/>
  <c r="N104" i="22"/>
  <c r="F104" i="22"/>
  <c r="K104" i="22"/>
  <c r="L104" i="22"/>
  <c r="D104" i="22"/>
  <c r="I104" i="22"/>
  <c r="J104" i="22"/>
  <c r="O104" i="22"/>
  <c r="G104" i="22"/>
  <c r="R22" i="25"/>
  <c r="H99" i="22"/>
  <c r="M99" i="22"/>
  <c r="E99" i="22"/>
  <c r="N99" i="22"/>
  <c r="F99" i="22"/>
  <c r="K99" i="22"/>
  <c r="L99" i="22"/>
  <c r="D99" i="22"/>
  <c r="I99" i="22"/>
  <c r="G99" i="22"/>
  <c r="O99" i="22"/>
  <c r="J99" i="22"/>
  <c r="H100" i="21"/>
  <c r="M100" i="21"/>
  <c r="E100" i="21"/>
  <c r="N100" i="21"/>
  <c r="F100" i="21"/>
  <c r="K100" i="21"/>
  <c r="L100" i="21"/>
  <c r="D100" i="21"/>
  <c r="I100" i="21"/>
  <c r="O100" i="21"/>
  <c r="J100" i="21"/>
  <c r="G100" i="21"/>
  <c r="L108" i="20"/>
  <c r="H101" i="22"/>
  <c r="M101" i="22"/>
  <c r="E101" i="22"/>
  <c r="N101" i="22"/>
  <c r="F101" i="22"/>
  <c r="K101" i="22"/>
  <c r="L101" i="22"/>
  <c r="D101" i="22"/>
  <c r="I101" i="22"/>
  <c r="G101" i="22"/>
  <c r="J101" i="22"/>
  <c r="O101" i="22"/>
  <c r="H106" i="22"/>
  <c r="M106" i="22"/>
  <c r="E106" i="22"/>
  <c r="N106" i="22"/>
  <c r="F106" i="22"/>
  <c r="K106" i="22"/>
  <c r="L106" i="22"/>
  <c r="D106" i="22"/>
  <c r="I106" i="22"/>
  <c r="J106" i="22"/>
  <c r="O106" i="22"/>
  <c r="G106" i="22"/>
  <c r="L98" i="21"/>
  <c r="D98" i="21"/>
  <c r="I98" i="21"/>
  <c r="H98" i="21"/>
  <c r="M98" i="21"/>
  <c r="F98" i="21"/>
  <c r="E98" i="21"/>
  <c r="O98" i="21"/>
  <c r="N98" i="21"/>
  <c r="K98" i="21"/>
  <c r="G64" i="9"/>
  <c r="J18" i="16"/>
  <c r="G98" i="21"/>
  <c r="J98" i="21"/>
  <c r="H104" i="21"/>
  <c r="I104" i="21"/>
  <c r="K104" i="21"/>
  <c r="J104" i="21"/>
  <c r="D104" i="21"/>
  <c r="F104" i="21"/>
  <c r="E104" i="21"/>
  <c r="O104" i="21"/>
  <c r="L104" i="21"/>
  <c r="N104" i="21"/>
  <c r="M104" i="21"/>
  <c r="G104" i="21"/>
  <c r="R24" i="25"/>
  <c r="L99" i="21"/>
  <c r="D99" i="21"/>
  <c r="I99" i="21"/>
  <c r="J99" i="21"/>
  <c r="O99" i="21"/>
  <c r="G99" i="21"/>
  <c r="H99" i="21"/>
  <c r="M99" i="21"/>
  <c r="E99" i="21"/>
  <c r="K99" i="21"/>
  <c r="N99" i="21"/>
  <c r="F99" i="21"/>
  <c r="N102" i="21"/>
  <c r="F102" i="21"/>
  <c r="K102" i="21"/>
  <c r="L102" i="21"/>
  <c r="D102" i="21"/>
  <c r="I102" i="21"/>
  <c r="J102" i="21"/>
  <c r="O102" i="21"/>
  <c r="G102" i="21"/>
  <c r="H102" i="21"/>
  <c r="M102" i="21"/>
  <c r="E102" i="21"/>
  <c r="R50" i="25"/>
  <c r="I108" i="20"/>
  <c r="H102" i="22"/>
  <c r="M102" i="22"/>
  <c r="E102" i="22"/>
  <c r="N102" i="22"/>
  <c r="F102" i="22"/>
  <c r="K102" i="22"/>
  <c r="L102" i="22"/>
  <c r="D102" i="22"/>
  <c r="I102" i="22"/>
  <c r="J102" i="22"/>
  <c r="O102" i="22"/>
  <c r="G102" i="22"/>
  <c r="D108" i="20"/>
  <c r="K108" i="20"/>
  <c r="O101" i="21"/>
  <c r="N101" i="21"/>
  <c r="G101" i="21"/>
  <c r="I101" i="21"/>
  <c r="E101" i="21"/>
  <c r="D101" i="21"/>
  <c r="K101" i="21"/>
  <c r="M101" i="21"/>
  <c r="H101" i="21"/>
  <c r="L101" i="21"/>
  <c r="F101" i="21"/>
  <c r="J101" i="21"/>
  <c r="N106" i="21"/>
  <c r="F106" i="21"/>
  <c r="K106" i="21"/>
  <c r="L106" i="21"/>
  <c r="D106" i="21"/>
  <c r="I106" i="21"/>
  <c r="J106" i="21"/>
  <c r="O106" i="21"/>
  <c r="G106" i="21"/>
  <c r="M106" i="21"/>
  <c r="E106" i="21"/>
  <c r="H106" i="21"/>
  <c r="R26" i="25"/>
  <c r="H105" i="22"/>
  <c r="M105" i="22"/>
  <c r="E105" i="22"/>
  <c r="N105" i="22"/>
  <c r="F105" i="22"/>
  <c r="K105" i="22"/>
  <c r="L105" i="22"/>
  <c r="D105" i="22"/>
  <c r="I105" i="22"/>
  <c r="O105" i="22"/>
  <c r="G105" i="22"/>
  <c r="J105" i="22"/>
  <c r="L57" i="20"/>
  <c r="K58" i="20"/>
  <c r="L58" i="20"/>
  <c r="O60" i="20"/>
  <c r="M60" i="20"/>
  <c r="F57" i="20"/>
  <c r="K57" i="20"/>
  <c r="M58" i="20"/>
  <c r="H58" i="20"/>
  <c r="D60" i="20"/>
  <c r="W11" i="11"/>
  <c r="X11" i="11"/>
  <c r="N59" i="20"/>
  <c r="G59" i="20"/>
  <c r="D59" i="20"/>
  <c r="H59" i="20"/>
  <c r="I59" i="20"/>
  <c r="J59" i="20"/>
  <c r="O59" i="20"/>
  <c r="O66" i="20"/>
  <c r="D66" i="20"/>
  <c r="J66" i="20"/>
  <c r="K66" i="20"/>
  <c r="G27" i="9"/>
  <c r="O73" i="21"/>
  <c r="M66" i="20"/>
  <c r="I66" i="20"/>
  <c r="G66" i="20"/>
  <c r="N66" i="20"/>
  <c r="H66" i="20"/>
  <c r="E66" i="20"/>
  <c r="F66" i="20"/>
  <c r="I75" i="20"/>
  <c r="H75" i="20"/>
  <c r="J75" i="20"/>
  <c r="W17" i="12"/>
  <c r="X17" i="12"/>
  <c r="L58" i="19"/>
  <c r="D58" i="19"/>
  <c r="M58" i="19"/>
  <c r="H67" i="20"/>
  <c r="D57" i="20"/>
  <c r="H57" i="20"/>
  <c r="G57" i="20"/>
  <c r="E58" i="20"/>
  <c r="G58" i="20"/>
  <c r="F58" i="20"/>
  <c r="H60" i="20"/>
  <c r="G60" i="20"/>
  <c r="J60" i="20"/>
  <c r="G58" i="19"/>
  <c r="N58" i="19"/>
  <c r="E57" i="20"/>
  <c r="J57" i="20"/>
  <c r="I58" i="20"/>
  <c r="N58" i="20"/>
  <c r="E62" i="20"/>
  <c r="K60" i="20"/>
  <c r="F60" i="20"/>
  <c r="H74" i="20"/>
  <c r="G15" i="9"/>
  <c r="N61" i="21"/>
  <c r="G13" i="9"/>
  <c r="O59" i="21"/>
  <c r="F61" i="19"/>
  <c r="J69" i="20"/>
  <c r="H61" i="19"/>
  <c r="W14" i="11"/>
  <c r="X14" i="11"/>
  <c r="J67" i="20"/>
  <c r="K62" i="20"/>
  <c r="O61" i="19"/>
  <c r="K67" i="20"/>
  <c r="K69" i="20"/>
  <c r="G62" i="20"/>
  <c r="L74" i="20"/>
  <c r="W9" i="12"/>
  <c r="X9" i="12"/>
  <c r="D74" i="20"/>
  <c r="D67" i="20"/>
  <c r="F67" i="20"/>
  <c r="L67" i="20"/>
  <c r="N69" i="20"/>
  <c r="H69" i="20"/>
  <c r="G69" i="20"/>
  <c r="H62" i="20"/>
  <c r="M62" i="20"/>
  <c r="J62" i="20"/>
  <c r="F74" i="20"/>
  <c r="N74" i="20"/>
  <c r="I67" i="20"/>
  <c r="E67" i="20"/>
  <c r="G67" i="20"/>
  <c r="M69" i="20"/>
  <c r="E69" i="20"/>
  <c r="F69" i="20"/>
  <c r="F62" i="20"/>
  <c r="O62" i="20"/>
  <c r="D62" i="20"/>
  <c r="K74" i="20"/>
  <c r="G74" i="20"/>
  <c r="W17" i="11"/>
  <c r="X17" i="11"/>
  <c r="M67" i="20"/>
  <c r="O67" i="20"/>
  <c r="O69" i="20"/>
  <c r="L69" i="20"/>
  <c r="L62" i="20"/>
  <c r="I62" i="20"/>
  <c r="J74" i="20"/>
  <c r="O74" i="20"/>
  <c r="M75" i="20"/>
  <c r="O75" i="20"/>
  <c r="G75" i="20"/>
  <c r="W11" i="12"/>
  <c r="X11" i="12"/>
  <c r="F75" i="20"/>
  <c r="D75" i="20"/>
  <c r="E75" i="20"/>
  <c r="N75" i="20"/>
  <c r="L75" i="20"/>
  <c r="D63" i="18"/>
  <c r="M74" i="20"/>
  <c r="E74" i="20"/>
  <c r="O7" i="12"/>
  <c r="G24" i="9"/>
  <c r="L70" i="21"/>
  <c r="U101" i="12"/>
  <c r="G23" i="9"/>
  <c r="I69" i="21"/>
  <c r="F101" i="12"/>
  <c r="W9" i="11"/>
  <c r="X9" i="11"/>
  <c r="W10" i="11"/>
  <c r="X10" i="11"/>
  <c r="W12" i="12"/>
  <c r="X12" i="12"/>
  <c r="E84" i="19"/>
  <c r="L84" i="19"/>
  <c r="I84" i="19"/>
  <c r="K84" i="19"/>
  <c r="J84" i="19"/>
  <c r="G84" i="19"/>
  <c r="O84" i="19"/>
  <c r="M84" i="19"/>
  <c r="D84" i="19"/>
  <c r="H84" i="19"/>
  <c r="F84" i="19"/>
  <c r="N84" i="19"/>
  <c r="N101" i="10"/>
  <c r="R2" i="25"/>
  <c r="M61" i="19"/>
  <c r="D61" i="19"/>
  <c r="J61" i="19"/>
  <c r="K61" i="19"/>
  <c r="E61" i="19"/>
  <c r="I61" i="19"/>
  <c r="N61" i="19"/>
  <c r="G61" i="19"/>
  <c r="S55" i="18"/>
  <c r="S69" i="19"/>
  <c r="N101" i="1"/>
  <c r="O101" i="1"/>
  <c r="K99" i="11"/>
  <c r="H101" i="13"/>
  <c r="E76" i="18"/>
  <c r="S67" i="19"/>
  <c r="R8" i="25"/>
  <c r="W14" i="1"/>
  <c r="S71" i="18"/>
  <c r="W17" i="1"/>
  <c r="K73" i="20"/>
  <c r="L73" i="20"/>
  <c r="W15" i="11"/>
  <c r="X15" i="11"/>
  <c r="S66" i="19"/>
  <c r="S59" i="19"/>
  <c r="S74" i="19"/>
  <c r="I71" i="19"/>
  <c r="I76" i="19"/>
  <c r="S66" i="18"/>
  <c r="F56" i="20"/>
  <c r="S56" i="19"/>
  <c r="S70" i="19"/>
  <c r="S60" i="19"/>
  <c r="O56" i="20"/>
  <c r="S62" i="19"/>
  <c r="H15" i="9"/>
  <c r="N61" i="22"/>
  <c r="G16" i="9"/>
  <c r="K62" i="21"/>
  <c r="G10" i="9"/>
  <c r="L57" i="21"/>
  <c r="M56" i="20"/>
  <c r="G56" i="20"/>
  <c r="I56" i="20"/>
  <c r="J71" i="19"/>
  <c r="J76" i="19"/>
  <c r="H11" i="9"/>
  <c r="O58" i="22"/>
  <c r="H8" i="9"/>
  <c r="I55" i="22"/>
  <c r="H13" i="9"/>
  <c r="G59" i="22"/>
  <c r="J101" i="12"/>
  <c r="I101" i="12"/>
  <c r="D56" i="20"/>
  <c r="J56" i="20"/>
  <c r="L56" i="20"/>
  <c r="Q99" i="12"/>
  <c r="S75" i="19"/>
  <c r="H71" i="19"/>
  <c r="H76" i="19"/>
  <c r="G8" i="9"/>
  <c r="N55" i="21"/>
  <c r="H99" i="12"/>
  <c r="E71" i="19"/>
  <c r="E76" i="19"/>
  <c r="F17" i="9"/>
  <c r="H14" i="16"/>
  <c r="G11" i="9"/>
  <c r="M58" i="21"/>
  <c r="H101" i="12"/>
  <c r="G20" i="9"/>
  <c r="L66" i="21"/>
  <c r="Q101" i="12"/>
  <c r="V101" i="12"/>
  <c r="E56" i="20"/>
  <c r="H56" i="20"/>
  <c r="K56" i="20"/>
  <c r="F73" i="20"/>
  <c r="H73" i="20"/>
  <c r="D73" i="20"/>
  <c r="E73" i="20"/>
  <c r="I73" i="20"/>
  <c r="O73" i="20"/>
  <c r="M73" i="20"/>
  <c r="N73" i="20"/>
  <c r="J73" i="20"/>
  <c r="E30" i="9"/>
  <c r="F15" i="16"/>
  <c r="T99" i="1"/>
  <c r="O99" i="1"/>
  <c r="G71" i="19"/>
  <c r="G76" i="19"/>
  <c r="H76" i="18"/>
  <c r="D71" i="19"/>
  <c r="D76" i="19"/>
  <c r="F71" i="19"/>
  <c r="F76" i="19"/>
  <c r="K71" i="19"/>
  <c r="K76" i="19"/>
  <c r="O71" i="19"/>
  <c r="O76" i="19"/>
  <c r="M71" i="19"/>
  <c r="M76" i="19"/>
  <c r="L71" i="19"/>
  <c r="L76" i="19"/>
  <c r="N76" i="19"/>
  <c r="F99" i="13"/>
  <c r="K99" i="10"/>
  <c r="N55" i="20"/>
  <c r="F55" i="20"/>
  <c r="J55" i="20"/>
  <c r="H55" i="20"/>
  <c r="I55" i="20"/>
  <c r="K55" i="20"/>
  <c r="L55" i="20"/>
  <c r="M55" i="20"/>
  <c r="E55" i="20"/>
  <c r="G55" i="20"/>
  <c r="O55" i="20"/>
  <c r="D55" i="20"/>
  <c r="G63" i="18"/>
  <c r="P99" i="1"/>
  <c r="K101" i="11"/>
  <c r="M76" i="18"/>
  <c r="L76" i="18"/>
  <c r="M63" i="18"/>
  <c r="G76" i="18"/>
  <c r="V101" i="13"/>
  <c r="H16" i="9"/>
  <c r="H24" i="9"/>
  <c r="I101" i="13"/>
  <c r="J101" i="13"/>
  <c r="F101" i="13"/>
  <c r="H23" i="9"/>
  <c r="U101" i="13"/>
  <c r="H27" i="9"/>
  <c r="D73" i="22"/>
  <c r="H20" i="9"/>
  <c r="H10" i="9"/>
  <c r="S68" i="19"/>
  <c r="L63" i="18"/>
  <c r="S58" i="18"/>
  <c r="F63" i="18"/>
  <c r="H22" i="9"/>
  <c r="P101" i="1"/>
  <c r="X13" i="1"/>
  <c r="W13" i="12"/>
  <c r="X13" i="12"/>
  <c r="J63" i="18"/>
  <c r="O99" i="10"/>
  <c r="E35" i="9"/>
  <c r="O101" i="10"/>
  <c r="N99" i="10"/>
  <c r="E34" i="9"/>
  <c r="G25" i="9"/>
  <c r="M68" i="20"/>
  <c r="J68" i="20"/>
  <c r="L68" i="20"/>
  <c r="I68" i="20"/>
  <c r="O68" i="20"/>
  <c r="G68" i="20"/>
  <c r="E68" i="20"/>
  <c r="F68" i="20"/>
  <c r="K68" i="20"/>
  <c r="D68" i="20"/>
  <c r="F30" i="9"/>
  <c r="H15" i="16"/>
  <c r="H68" i="20"/>
  <c r="N68" i="20"/>
  <c r="N63" i="18"/>
  <c r="K101" i="10"/>
  <c r="P99" i="10"/>
  <c r="E36" i="9"/>
  <c r="P101" i="10"/>
  <c r="K76" i="18"/>
  <c r="I76" i="18"/>
  <c r="N99" i="1"/>
  <c r="D34" i="9"/>
  <c r="W16" i="1"/>
  <c r="K63" i="18"/>
  <c r="O63" i="18"/>
  <c r="W15" i="12"/>
  <c r="X15" i="12"/>
  <c r="I63" i="18"/>
  <c r="H63" i="18"/>
  <c r="G22" i="9"/>
  <c r="S73" i="19"/>
  <c r="O76" i="18"/>
  <c r="J76" i="18"/>
  <c r="S68" i="18"/>
  <c r="D76" i="18"/>
  <c r="S57" i="19"/>
  <c r="E63" i="18"/>
  <c r="R7" i="25"/>
  <c r="W15" i="1"/>
  <c r="N76" i="18"/>
  <c r="F76" i="18"/>
  <c r="E71" i="20"/>
  <c r="L71" i="20"/>
  <c r="H71" i="20"/>
  <c r="G71" i="20"/>
  <c r="D71" i="20"/>
  <c r="K71" i="20"/>
  <c r="N71" i="20"/>
  <c r="I71" i="20"/>
  <c r="M71" i="20"/>
  <c r="J71" i="20"/>
  <c r="O71" i="20"/>
  <c r="F71" i="20"/>
  <c r="M55" i="19"/>
  <c r="E55" i="19"/>
  <c r="G55" i="19"/>
  <c r="F55" i="19"/>
  <c r="L55" i="19"/>
  <c r="H55" i="19"/>
  <c r="I55" i="19"/>
  <c r="N55" i="19"/>
  <c r="D55" i="19"/>
  <c r="K55" i="19"/>
  <c r="E17" i="9"/>
  <c r="O55" i="19"/>
  <c r="J55" i="19"/>
  <c r="M101" i="1"/>
  <c r="M99" i="1"/>
  <c r="T101" i="1"/>
  <c r="D161" i="21"/>
  <c r="H161" i="21"/>
  <c r="H163" i="21"/>
  <c r="L161" i="21"/>
  <c r="L163" i="21"/>
  <c r="G161" i="21"/>
  <c r="G163" i="21"/>
  <c r="K161" i="21"/>
  <c r="K163" i="21"/>
  <c r="O161" i="21"/>
  <c r="F161" i="21"/>
  <c r="F163" i="21"/>
  <c r="J161" i="21"/>
  <c r="J163" i="21"/>
  <c r="N161" i="21"/>
  <c r="N163" i="21"/>
  <c r="E161" i="21"/>
  <c r="E163" i="21"/>
  <c r="I161" i="21"/>
  <c r="I163" i="21"/>
  <c r="M161" i="21"/>
  <c r="M163" i="21"/>
  <c r="O163" i="20"/>
  <c r="S130" i="29"/>
  <c r="S131" i="29"/>
  <c r="S126" i="21"/>
  <c r="S126" i="29"/>
  <c r="D126" i="22"/>
  <c r="S126" i="22"/>
  <c r="L112" i="29"/>
  <c r="L112" i="21"/>
  <c r="S112" i="28"/>
  <c r="F94" i="22"/>
  <c r="S94" i="22"/>
  <c r="S94" i="29"/>
  <c r="S91" i="29"/>
  <c r="F91" i="22"/>
  <c r="S73" i="29"/>
  <c r="Q44" i="21"/>
  <c r="Q44" i="29"/>
  <c r="Q44" i="22"/>
  <c r="F44" i="22"/>
  <c r="S44" i="29"/>
  <c r="N19" i="22"/>
  <c r="S19" i="29"/>
  <c r="Q18" i="22"/>
  <c r="S18" i="29"/>
  <c r="S18" i="21"/>
  <c r="S26" i="29"/>
  <c r="G26" i="22"/>
  <c r="S26" i="21"/>
  <c r="S72" i="29"/>
  <c r="F72" i="22"/>
  <c r="S60" i="29"/>
  <c r="S56" i="29"/>
  <c r="E128" i="29"/>
  <c r="S128" i="29"/>
  <c r="S128" i="28"/>
  <c r="O34" i="18"/>
  <c r="N34" i="18"/>
  <c r="J34" i="18"/>
  <c r="M34" i="18"/>
  <c r="S26" i="18"/>
  <c r="C21" i="32"/>
  <c r="C24" i="32"/>
  <c r="C25" i="32"/>
  <c r="B24" i="32"/>
  <c r="B25" i="32"/>
  <c r="B21" i="32"/>
  <c r="S18" i="18"/>
  <c r="P17" i="18"/>
  <c r="N17" i="18"/>
  <c r="P46" i="25"/>
  <c r="L17" i="18"/>
  <c r="N46" i="25"/>
  <c r="E17" i="18"/>
  <c r="G46" i="25"/>
  <c r="J17" i="18"/>
  <c r="L46" i="25"/>
  <c r="K17" i="18"/>
  <c r="M46" i="25"/>
  <c r="R17" i="18"/>
  <c r="M17" i="18"/>
  <c r="O46" i="25"/>
  <c r="Q17" i="18"/>
  <c r="D17" i="18"/>
  <c r="H17" i="18"/>
  <c r="J46" i="25"/>
  <c r="I17" i="18"/>
  <c r="K46" i="25"/>
  <c r="O17" i="18"/>
  <c r="F17" i="18"/>
  <c r="H46" i="25"/>
  <c r="G17" i="18"/>
  <c r="I46" i="25"/>
  <c r="F17" i="32"/>
  <c r="D21" i="32"/>
  <c r="F67" i="32"/>
  <c r="C96" i="32"/>
  <c r="D25" i="32"/>
  <c r="E122" i="22"/>
  <c r="N122" i="22"/>
  <c r="F122" i="22"/>
  <c r="I122" i="22"/>
  <c r="S122" i="22"/>
  <c r="K122" i="22"/>
  <c r="J122" i="22"/>
  <c r="J116" i="22"/>
  <c r="H71" i="9"/>
  <c r="G116" i="22"/>
  <c r="K152" i="18"/>
  <c r="M42" i="25"/>
  <c r="I152" i="18"/>
  <c r="K42" i="25"/>
  <c r="M152" i="18"/>
  <c r="K14" i="21"/>
  <c r="F14" i="21"/>
  <c r="P14" i="21"/>
  <c r="D14" i="21"/>
  <c r="H14" i="22"/>
  <c r="I14" i="22"/>
  <c r="R14" i="22"/>
  <c r="J14" i="22"/>
  <c r="S14" i="22"/>
  <c r="G14" i="21"/>
  <c r="M14" i="21"/>
  <c r="J14" i="21"/>
  <c r="L14" i="21"/>
  <c r="G14" i="22"/>
  <c r="Q14" i="22"/>
  <c r="O14" i="22"/>
  <c r="M14" i="22"/>
  <c r="H14" i="21"/>
  <c r="I14" i="21"/>
  <c r="L14" i="22"/>
  <c r="K14" i="22"/>
  <c r="D14" i="22"/>
  <c r="K14" i="20"/>
  <c r="H14" i="20"/>
  <c r="H19" i="15"/>
  <c r="L8" i="16"/>
  <c r="O14" i="20"/>
  <c r="E14" i="20"/>
  <c r="P14" i="20"/>
  <c r="R14" i="20"/>
  <c r="P21" i="19"/>
  <c r="P23" i="19"/>
  <c r="O21" i="19"/>
  <c r="J152" i="18"/>
  <c r="L42" i="25"/>
  <c r="E152" i="18"/>
  <c r="G42" i="25"/>
  <c r="G152" i="18"/>
  <c r="I42" i="25"/>
  <c r="K21" i="19"/>
  <c r="D152" i="18"/>
  <c r="F42" i="25"/>
  <c r="O152" i="18"/>
  <c r="Q42" i="25"/>
  <c r="G120" i="22"/>
  <c r="D120" i="22"/>
  <c r="E120" i="22"/>
  <c r="J120" i="22"/>
  <c r="G17" i="20"/>
  <c r="R17" i="20"/>
  <c r="F17" i="20"/>
  <c r="O17" i="20"/>
  <c r="Q17" i="20"/>
  <c r="L17" i="20"/>
  <c r="I17" i="20"/>
  <c r="N21" i="19"/>
  <c r="H21" i="19"/>
  <c r="I21" i="19"/>
  <c r="E21" i="19"/>
  <c r="F21" i="19"/>
  <c r="D21" i="19"/>
  <c r="R21" i="19"/>
  <c r="G14" i="18"/>
  <c r="I45" i="25"/>
  <c r="K14" i="18"/>
  <c r="M45" i="25"/>
  <c r="O14" i="18"/>
  <c r="O23" i="18"/>
  <c r="J14" i="18"/>
  <c r="R14" i="18"/>
  <c r="R23" i="18"/>
  <c r="H14" i="18"/>
  <c r="H23" i="18"/>
  <c r="L14" i="18"/>
  <c r="N45" i="25"/>
  <c r="P14" i="18"/>
  <c r="F14" i="18"/>
  <c r="H45" i="25"/>
  <c r="E14" i="18"/>
  <c r="E23" i="18"/>
  <c r="I14" i="18"/>
  <c r="K45" i="25"/>
  <c r="M14" i="18"/>
  <c r="Q14" i="18"/>
  <c r="N14" i="18"/>
  <c r="P45" i="25"/>
  <c r="D47" i="8"/>
  <c r="N136" i="22"/>
  <c r="L136" i="22"/>
  <c r="H136" i="22"/>
  <c r="J136" i="22"/>
  <c r="K136" i="22"/>
  <c r="M136" i="22"/>
  <c r="O136" i="22"/>
  <c r="F136" i="22"/>
  <c r="D137" i="22"/>
  <c r="I137" i="22"/>
  <c r="L137" i="22"/>
  <c r="K136" i="21"/>
  <c r="M136" i="21"/>
  <c r="J136" i="21"/>
  <c r="M137" i="22"/>
  <c r="G137" i="22"/>
  <c r="J137" i="22"/>
  <c r="F136" i="21"/>
  <c r="H136" i="21"/>
  <c r="I136" i="21"/>
  <c r="N137" i="22"/>
  <c r="H137" i="22"/>
  <c r="N136" i="21"/>
  <c r="G136" i="21"/>
  <c r="S116" i="20"/>
  <c r="S131" i="21"/>
  <c r="K118" i="22"/>
  <c r="I118" i="22"/>
  <c r="J118" i="22"/>
  <c r="M118" i="22"/>
  <c r="L118" i="22"/>
  <c r="O121" i="21"/>
  <c r="I112" i="22"/>
  <c r="L116" i="22"/>
  <c r="K116" i="22"/>
  <c r="S131" i="22"/>
  <c r="M112" i="22"/>
  <c r="N112" i="22"/>
  <c r="E19" i="22"/>
  <c r="I19" i="22"/>
  <c r="L19" i="22"/>
  <c r="O19" i="22"/>
  <c r="D19" i="22"/>
  <c r="F19" i="22"/>
  <c r="R19" i="22"/>
  <c r="H19" i="22"/>
  <c r="G19" i="22"/>
  <c r="J19" i="22"/>
  <c r="K19" i="22"/>
  <c r="M19" i="22"/>
  <c r="P19" i="22"/>
  <c r="Q19" i="22"/>
  <c r="S19" i="22"/>
  <c r="S19" i="20"/>
  <c r="I121" i="21"/>
  <c r="H121" i="21"/>
  <c r="S143" i="21"/>
  <c r="G74" i="8"/>
  <c r="G107" i="9"/>
  <c r="F107" i="9"/>
  <c r="F74" i="8"/>
  <c r="H107" i="9"/>
  <c r="H74" i="8"/>
  <c r="M152" i="19"/>
  <c r="M155" i="19"/>
  <c r="N152" i="19"/>
  <c r="N155" i="19"/>
  <c r="G152" i="19"/>
  <c r="G155" i="19"/>
  <c r="D152" i="19"/>
  <c r="K152" i="19"/>
  <c r="K155" i="19"/>
  <c r="H152" i="19"/>
  <c r="H155" i="19"/>
  <c r="E110" i="9"/>
  <c r="F21" i="16"/>
  <c r="I152" i="19"/>
  <c r="I155" i="19"/>
  <c r="J152" i="19"/>
  <c r="J155" i="19"/>
  <c r="E152" i="19"/>
  <c r="E155" i="19"/>
  <c r="F152" i="19"/>
  <c r="F155" i="19"/>
  <c r="L152" i="19"/>
  <c r="L155" i="19"/>
  <c r="O152" i="19"/>
  <c r="O155" i="19"/>
  <c r="D19" i="15"/>
  <c r="D8" i="16"/>
  <c r="J21" i="19"/>
  <c r="J23" i="19"/>
  <c r="L21" i="19"/>
  <c r="M21" i="19"/>
  <c r="M23" i="19"/>
  <c r="O42" i="25"/>
  <c r="S143" i="22"/>
  <c r="S142" i="21"/>
  <c r="S142" i="22"/>
  <c r="H112" i="22"/>
  <c r="F112" i="22"/>
  <c r="O116" i="22"/>
  <c r="H116" i="22"/>
  <c r="M116" i="22"/>
  <c r="K112" i="22"/>
  <c r="J112" i="22"/>
  <c r="E112" i="22"/>
  <c r="N116" i="22"/>
  <c r="D116" i="22"/>
  <c r="I116" i="22"/>
  <c r="G112" i="22"/>
  <c r="O112" i="22"/>
  <c r="E116" i="22"/>
  <c r="F116" i="22"/>
  <c r="S122" i="21"/>
  <c r="Q50" i="22"/>
  <c r="D16" i="22"/>
  <c r="G16" i="22"/>
  <c r="H16" i="22"/>
  <c r="P16" i="18"/>
  <c r="O16" i="18"/>
  <c r="F16" i="18"/>
  <c r="J16" i="18"/>
  <c r="D29" i="18"/>
  <c r="N21" i="20"/>
  <c r="Q21" i="20"/>
  <c r="O21" i="20"/>
  <c r="F19" i="15"/>
  <c r="H8" i="16"/>
  <c r="L16" i="18"/>
  <c r="K16" i="18"/>
  <c r="Q34" i="18"/>
  <c r="D28" i="18"/>
  <c r="D30" i="15"/>
  <c r="D9" i="16"/>
  <c r="I72" i="22"/>
  <c r="J72" i="22"/>
  <c r="M72" i="22"/>
  <c r="L72" i="22"/>
  <c r="G72" i="22"/>
  <c r="N72" i="22"/>
  <c r="K72" i="22"/>
  <c r="E72" i="22"/>
  <c r="D72" i="22"/>
  <c r="H72" i="22"/>
  <c r="M116" i="21"/>
  <c r="F116" i="21"/>
  <c r="O116" i="21"/>
  <c r="D72" i="21"/>
  <c r="E72" i="21"/>
  <c r="H72" i="21"/>
  <c r="L72" i="21"/>
  <c r="G72" i="21"/>
  <c r="K72" i="21"/>
  <c r="M72" i="21"/>
  <c r="N72" i="21"/>
  <c r="F72" i="21"/>
  <c r="I72" i="21"/>
  <c r="O72" i="21"/>
  <c r="J72" i="21"/>
  <c r="S72" i="20"/>
  <c r="I99" i="13"/>
  <c r="H9" i="9"/>
  <c r="G56" i="22"/>
  <c r="E84" i="18"/>
  <c r="G13" i="25"/>
  <c r="J121" i="21"/>
  <c r="K121" i="21"/>
  <c r="N121" i="21"/>
  <c r="F121" i="21"/>
  <c r="E121" i="21"/>
  <c r="M121" i="21"/>
  <c r="S119" i="22"/>
  <c r="D121" i="21"/>
  <c r="G121" i="21"/>
  <c r="E116" i="21"/>
  <c r="G116" i="21"/>
  <c r="D116" i="21"/>
  <c r="H116" i="21"/>
  <c r="L116" i="21"/>
  <c r="K116" i="21"/>
  <c r="N116" i="21"/>
  <c r="J116" i="21"/>
  <c r="G19" i="15"/>
  <c r="J8" i="16"/>
  <c r="N41" i="18"/>
  <c r="G41" i="18"/>
  <c r="F41" i="18"/>
  <c r="Q41" i="18"/>
  <c r="Q50" i="18"/>
  <c r="J41" i="18"/>
  <c r="K41" i="18"/>
  <c r="E41" i="18"/>
  <c r="M14" i="20"/>
  <c r="L14" i="20"/>
  <c r="G14" i="20"/>
  <c r="I14" i="20"/>
  <c r="F14" i="20"/>
  <c r="D21" i="20"/>
  <c r="S129" i="22"/>
  <c r="P7" i="13"/>
  <c r="P7" i="12"/>
  <c r="P99" i="12"/>
  <c r="G36" i="9"/>
  <c r="S129" i="21"/>
  <c r="S96" i="21"/>
  <c r="S96" i="22"/>
  <c r="S92" i="22"/>
  <c r="K101" i="13"/>
  <c r="S125" i="22"/>
  <c r="S112" i="21"/>
  <c r="S93" i="22"/>
  <c r="S91" i="21"/>
  <c r="F16" i="19"/>
  <c r="Q16" i="19"/>
  <c r="P16" i="19"/>
  <c r="O16" i="19"/>
  <c r="O23" i="19"/>
  <c r="R16" i="19"/>
  <c r="L16" i="19"/>
  <c r="E19" i="15"/>
  <c r="E48" i="15"/>
  <c r="N16" i="19"/>
  <c r="M16" i="19"/>
  <c r="G16" i="19"/>
  <c r="G23" i="19"/>
  <c r="K16" i="19"/>
  <c r="E16" i="19"/>
  <c r="I16" i="19"/>
  <c r="H16" i="19"/>
  <c r="D16" i="19"/>
  <c r="K34" i="20"/>
  <c r="I23" i="19"/>
  <c r="O16" i="21"/>
  <c r="K16" i="21"/>
  <c r="G16" i="21"/>
  <c r="R16" i="21"/>
  <c r="N16" i="21"/>
  <c r="J16" i="21"/>
  <c r="Q16" i="21"/>
  <c r="M16" i="21"/>
  <c r="I16" i="21"/>
  <c r="P16" i="21"/>
  <c r="L16" i="21"/>
  <c r="H16" i="21"/>
  <c r="E16" i="21"/>
  <c r="D16" i="21"/>
  <c r="F16" i="21"/>
  <c r="J41" i="21"/>
  <c r="J50" i="21"/>
  <c r="O41" i="21"/>
  <c r="O50" i="21"/>
  <c r="F41" i="21"/>
  <c r="F50" i="21"/>
  <c r="K41" i="21"/>
  <c r="K50" i="21"/>
  <c r="G46" i="15"/>
  <c r="J10" i="16"/>
  <c r="G41" i="21"/>
  <c r="G50" i="21"/>
  <c r="M41" i="21"/>
  <c r="M50" i="21"/>
  <c r="D41" i="21"/>
  <c r="I41" i="21"/>
  <c r="I50" i="21"/>
  <c r="E41" i="21"/>
  <c r="E50" i="21"/>
  <c r="R41" i="21"/>
  <c r="R50" i="21"/>
  <c r="H41" i="21"/>
  <c r="H50" i="21"/>
  <c r="P41" i="21"/>
  <c r="P50" i="21"/>
  <c r="N41" i="21"/>
  <c r="N50" i="21"/>
  <c r="L41" i="21"/>
  <c r="L50" i="21"/>
  <c r="Q41" i="21"/>
  <c r="Q50" i="21"/>
  <c r="M21" i="21"/>
  <c r="N21" i="21"/>
  <c r="K21" i="21"/>
  <c r="Q21" i="21"/>
  <c r="H21" i="21"/>
  <c r="I21" i="21"/>
  <c r="J21" i="21"/>
  <c r="J23" i="21"/>
  <c r="D21" i="21"/>
  <c r="P21" i="21"/>
  <c r="F21" i="21"/>
  <c r="E21" i="21"/>
  <c r="R21" i="21"/>
  <c r="O21" i="21"/>
  <c r="L21" i="21"/>
  <c r="G21" i="21"/>
  <c r="S41" i="22"/>
  <c r="D50" i="22"/>
  <c r="M21" i="22"/>
  <c r="R21" i="22"/>
  <c r="E21" i="22"/>
  <c r="J21" i="22"/>
  <c r="J23" i="22"/>
  <c r="N21" i="22"/>
  <c r="N23" i="22"/>
  <c r="O21" i="22"/>
  <c r="G21" i="22"/>
  <c r="G23" i="22"/>
  <c r="I21" i="22"/>
  <c r="I23" i="22"/>
  <c r="K21" i="22"/>
  <c r="P21" i="22"/>
  <c r="P23" i="22"/>
  <c r="F21" i="22"/>
  <c r="H21" i="22"/>
  <c r="L21" i="22"/>
  <c r="Q21" i="22"/>
  <c r="D21" i="22"/>
  <c r="L16" i="20"/>
  <c r="F16" i="20"/>
  <c r="H16" i="20"/>
  <c r="H23" i="20"/>
  <c r="N16" i="20"/>
  <c r="G16" i="20"/>
  <c r="I16" i="20"/>
  <c r="M16" i="20"/>
  <c r="M23" i="20"/>
  <c r="Q16" i="20"/>
  <c r="D16" i="20"/>
  <c r="E16" i="20"/>
  <c r="K16" i="20"/>
  <c r="K23" i="20"/>
  <c r="O16" i="20"/>
  <c r="P16" i="20"/>
  <c r="P23" i="20"/>
  <c r="R16" i="20"/>
  <c r="J16" i="20"/>
  <c r="J23" i="20"/>
  <c r="N41" i="20"/>
  <c r="N50" i="20"/>
  <c r="L41" i="20"/>
  <c r="L50" i="20"/>
  <c r="O41" i="20"/>
  <c r="O50" i="20"/>
  <c r="D41" i="20"/>
  <c r="G41" i="20"/>
  <c r="G50" i="20"/>
  <c r="F41" i="20"/>
  <c r="F50" i="20"/>
  <c r="M41" i="20"/>
  <c r="M50" i="20"/>
  <c r="H41" i="20"/>
  <c r="H50" i="20"/>
  <c r="P41" i="20"/>
  <c r="P50" i="20"/>
  <c r="K41" i="20"/>
  <c r="K50" i="20"/>
  <c r="E41" i="20"/>
  <c r="E50" i="20"/>
  <c r="Q41" i="20"/>
  <c r="Q50" i="20"/>
  <c r="I41" i="20"/>
  <c r="I50" i="20"/>
  <c r="R41" i="20"/>
  <c r="R50" i="20"/>
  <c r="F46" i="15"/>
  <c r="H10" i="16"/>
  <c r="J41" i="20"/>
  <c r="J50" i="20"/>
  <c r="S7" i="12"/>
  <c r="S101" i="12"/>
  <c r="T7" i="12"/>
  <c r="T99" i="12"/>
  <c r="G39" i="9"/>
  <c r="T7" i="13"/>
  <c r="T99" i="13"/>
  <c r="H39" i="9"/>
  <c r="M7" i="13"/>
  <c r="M101" i="13"/>
  <c r="O101" i="11"/>
  <c r="S99" i="11"/>
  <c r="S101" i="11"/>
  <c r="K82" i="18"/>
  <c r="M11" i="25"/>
  <c r="S7" i="13"/>
  <c r="S99" i="13"/>
  <c r="H38" i="9"/>
  <c r="O7" i="13"/>
  <c r="O99" i="13"/>
  <c r="H35" i="9"/>
  <c r="W13" i="13"/>
  <c r="X13" i="13"/>
  <c r="L63" i="19"/>
  <c r="S86" i="19"/>
  <c r="H63" i="19"/>
  <c r="S87" i="19"/>
  <c r="E63" i="19"/>
  <c r="F63" i="19"/>
  <c r="R23" i="19"/>
  <c r="D34" i="20"/>
  <c r="R34" i="20"/>
  <c r="S132" i="21"/>
  <c r="S132" i="22"/>
  <c r="S127" i="21"/>
  <c r="S127" i="22"/>
  <c r="S125" i="21"/>
  <c r="S124" i="22"/>
  <c r="S124" i="21"/>
  <c r="S123" i="21"/>
  <c r="S123" i="22"/>
  <c r="S121" i="22"/>
  <c r="S118" i="21"/>
  <c r="S117" i="22"/>
  <c r="S117" i="21"/>
  <c r="S114" i="22"/>
  <c r="S114" i="21"/>
  <c r="S113" i="21"/>
  <c r="S113" i="22"/>
  <c r="S93" i="21"/>
  <c r="S92" i="21"/>
  <c r="F34" i="20"/>
  <c r="M34" i="20"/>
  <c r="O34" i="20"/>
  <c r="P34" i="20"/>
  <c r="Q23" i="19"/>
  <c r="D50" i="19"/>
  <c r="S41" i="19"/>
  <c r="H34" i="19"/>
  <c r="Q46" i="25"/>
  <c r="O34" i="19"/>
  <c r="Q34" i="19"/>
  <c r="K34" i="19"/>
  <c r="I50" i="18"/>
  <c r="M50" i="18"/>
  <c r="D50" i="18"/>
  <c r="O50" i="18"/>
  <c r="L34" i="19"/>
  <c r="F34" i="19"/>
  <c r="P34" i="19"/>
  <c r="L50" i="18"/>
  <c r="H50" i="18"/>
  <c r="D34" i="19"/>
  <c r="S28" i="19"/>
  <c r="G34" i="19"/>
  <c r="N50" i="18"/>
  <c r="G50" i="18"/>
  <c r="J34" i="19"/>
  <c r="N34" i="19"/>
  <c r="E34" i="19"/>
  <c r="R34" i="19"/>
  <c r="M34" i="19"/>
  <c r="I34" i="19"/>
  <c r="J50" i="18"/>
  <c r="K50" i="18"/>
  <c r="S29" i="19"/>
  <c r="L34" i="20"/>
  <c r="G34" i="20"/>
  <c r="N34" i="20"/>
  <c r="I34" i="20"/>
  <c r="S28" i="20"/>
  <c r="H34" i="20"/>
  <c r="E34" i="20"/>
  <c r="R28" i="21"/>
  <c r="E28" i="21"/>
  <c r="F28" i="21"/>
  <c r="L28" i="21"/>
  <c r="J28" i="21"/>
  <c r="K28" i="21"/>
  <c r="P28" i="21"/>
  <c r="H28" i="21"/>
  <c r="I28" i="21"/>
  <c r="G28" i="21"/>
  <c r="D28" i="21"/>
  <c r="N28" i="21"/>
  <c r="O28" i="21"/>
  <c r="Q28" i="21"/>
  <c r="M28" i="21"/>
  <c r="J34" i="20"/>
  <c r="J28" i="22"/>
  <c r="Q28" i="22"/>
  <c r="F28" i="22"/>
  <c r="R28" i="22"/>
  <c r="K28" i="22"/>
  <c r="P28" i="22"/>
  <c r="M28" i="22"/>
  <c r="G28" i="22"/>
  <c r="D28" i="22"/>
  <c r="L28" i="22"/>
  <c r="E28" i="22"/>
  <c r="H28" i="22"/>
  <c r="I28" i="22"/>
  <c r="O28" i="22"/>
  <c r="N28" i="22"/>
  <c r="R29" i="21"/>
  <c r="E29" i="21"/>
  <c r="H29" i="21"/>
  <c r="G29" i="21"/>
  <c r="O29" i="21"/>
  <c r="D29" i="21"/>
  <c r="M29" i="21"/>
  <c r="F29" i="21"/>
  <c r="N29" i="21"/>
  <c r="N34" i="21"/>
  <c r="I29" i="21"/>
  <c r="I34" i="21"/>
  <c r="Q29" i="21"/>
  <c r="J29" i="21"/>
  <c r="L29" i="21"/>
  <c r="L34" i="21"/>
  <c r="K29" i="21"/>
  <c r="P29" i="21"/>
  <c r="G30" i="15"/>
  <c r="J9" i="16"/>
  <c r="J29" i="22"/>
  <c r="F29" i="22"/>
  <c r="Q29" i="22"/>
  <c r="Q34" i="22"/>
  <c r="I29" i="22"/>
  <c r="G29" i="22"/>
  <c r="N29" i="22"/>
  <c r="P29" i="22"/>
  <c r="P34" i="22"/>
  <c r="H29" i="22"/>
  <c r="M29" i="22"/>
  <c r="E29" i="22"/>
  <c r="L29" i="22"/>
  <c r="L34" i="22"/>
  <c r="D29" i="22"/>
  <c r="O29" i="22"/>
  <c r="K29" i="22"/>
  <c r="K34" i="22"/>
  <c r="R29" i="22"/>
  <c r="H30" i="15"/>
  <c r="L9" i="16"/>
  <c r="S29" i="20"/>
  <c r="N23" i="21"/>
  <c r="K23" i="19"/>
  <c r="S17" i="19"/>
  <c r="F25" i="32"/>
  <c r="S14" i="21"/>
  <c r="S14" i="19"/>
  <c r="E128" i="21"/>
  <c r="S17" i="21"/>
  <c r="K23" i="21"/>
  <c r="S17" i="22"/>
  <c r="D128" i="18"/>
  <c r="F36" i="25"/>
  <c r="M128" i="18"/>
  <c r="O36" i="25"/>
  <c r="F128" i="18"/>
  <c r="H36" i="25"/>
  <c r="H128" i="18"/>
  <c r="J36" i="25"/>
  <c r="I128" i="18"/>
  <c r="K36" i="25"/>
  <c r="G128" i="18"/>
  <c r="I36" i="25"/>
  <c r="O128" i="18"/>
  <c r="Q36" i="25"/>
  <c r="K128" i="18"/>
  <c r="M36" i="25"/>
  <c r="E128" i="18"/>
  <c r="G36" i="25"/>
  <c r="L128" i="18"/>
  <c r="N36" i="25"/>
  <c r="N128" i="18"/>
  <c r="P36" i="25"/>
  <c r="J128" i="18"/>
  <c r="L36" i="25"/>
  <c r="L81" i="18"/>
  <c r="N10" i="25"/>
  <c r="K85" i="18"/>
  <c r="M14" i="25"/>
  <c r="E73" i="21"/>
  <c r="M61" i="21"/>
  <c r="G69" i="21"/>
  <c r="S61" i="20"/>
  <c r="S70" i="20"/>
  <c r="H73" i="21"/>
  <c r="D73" i="21"/>
  <c r="I73" i="21"/>
  <c r="L73" i="21"/>
  <c r="N73" i="21"/>
  <c r="G73" i="21"/>
  <c r="M73" i="21"/>
  <c r="E59" i="21"/>
  <c r="J73" i="21"/>
  <c r="K73" i="21"/>
  <c r="F73" i="21"/>
  <c r="N63" i="20"/>
  <c r="W16" i="12"/>
  <c r="X16" i="12"/>
  <c r="O81" i="20"/>
  <c r="M101" i="11"/>
  <c r="J61" i="21"/>
  <c r="O61" i="21"/>
  <c r="L61" i="21"/>
  <c r="W16" i="13"/>
  <c r="X16" i="13"/>
  <c r="K61" i="21"/>
  <c r="H61" i="21"/>
  <c r="J108" i="21"/>
  <c r="H108" i="21"/>
  <c r="F108" i="21"/>
  <c r="O108" i="21"/>
  <c r="E108" i="21"/>
  <c r="I108" i="21"/>
  <c r="K108" i="21"/>
  <c r="H98" i="22"/>
  <c r="H108" i="22"/>
  <c r="D98" i="22"/>
  <c r="D108" i="22"/>
  <c r="K98" i="22"/>
  <c r="K108" i="22"/>
  <c r="J98" i="22"/>
  <c r="J108" i="22"/>
  <c r="L98" i="22"/>
  <c r="L108" i="22"/>
  <c r="F98" i="22"/>
  <c r="E98" i="22"/>
  <c r="E108" i="22"/>
  <c r="O98" i="22"/>
  <c r="O108" i="22"/>
  <c r="N98" i="22"/>
  <c r="N108" i="22"/>
  <c r="M98" i="22"/>
  <c r="M108" i="22"/>
  <c r="I98" i="22"/>
  <c r="I108" i="22"/>
  <c r="G98" i="22"/>
  <c r="G108" i="22"/>
  <c r="H64" i="9"/>
  <c r="L18" i="16"/>
  <c r="D108" i="21"/>
  <c r="G108" i="21"/>
  <c r="N108" i="21"/>
  <c r="M108" i="21"/>
  <c r="L108" i="21"/>
  <c r="G61" i="21"/>
  <c r="E61" i="21"/>
  <c r="D61" i="21"/>
  <c r="F61" i="21"/>
  <c r="I61" i="21"/>
  <c r="S59" i="20"/>
  <c r="J57" i="21"/>
  <c r="H99" i="13"/>
  <c r="J62" i="21"/>
  <c r="M63" i="19"/>
  <c r="H59" i="21"/>
  <c r="F59" i="21"/>
  <c r="S66" i="20"/>
  <c r="D69" i="21"/>
  <c r="L69" i="21"/>
  <c r="S58" i="19"/>
  <c r="S57" i="20"/>
  <c r="S60" i="20"/>
  <c r="H55" i="22"/>
  <c r="D58" i="21"/>
  <c r="W17" i="13"/>
  <c r="X17" i="13"/>
  <c r="S58" i="20"/>
  <c r="K70" i="21"/>
  <c r="K101" i="12"/>
  <c r="F63" i="20"/>
  <c r="L59" i="21"/>
  <c r="I59" i="21"/>
  <c r="K59" i="21"/>
  <c r="D59" i="21"/>
  <c r="J59" i="21"/>
  <c r="G59" i="21"/>
  <c r="S74" i="20"/>
  <c r="N59" i="21"/>
  <c r="M59" i="21"/>
  <c r="O74" i="21"/>
  <c r="N69" i="21"/>
  <c r="M69" i="21"/>
  <c r="F69" i="21"/>
  <c r="S62" i="20"/>
  <c r="S67" i="20"/>
  <c r="K69" i="21"/>
  <c r="E69" i="21"/>
  <c r="O69" i="21"/>
  <c r="G70" i="21"/>
  <c r="D63" i="20"/>
  <c r="O63" i="19"/>
  <c r="I63" i="19"/>
  <c r="J69" i="21"/>
  <c r="H69" i="21"/>
  <c r="W11" i="13"/>
  <c r="X11" i="13"/>
  <c r="S75" i="20"/>
  <c r="S69" i="20"/>
  <c r="H70" i="21"/>
  <c r="M70" i="21"/>
  <c r="I70" i="21"/>
  <c r="N70" i="21"/>
  <c r="J63" i="19"/>
  <c r="N63" i="19"/>
  <c r="O99" i="12"/>
  <c r="G35" i="9"/>
  <c r="H62" i="21"/>
  <c r="F70" i="21"/>
  <c r="J70" i="21"/>
  <c r="E70" i="21"/>
  <c r="G62" i="21"/>
  <c r="D70" i="21"/>
  <c r="O70" i="21"/>
  <c r="W9" i="13"/>
  <c r="X9" i="13"/>
  <c r="Q101" i="13"/>
  <c r="S84" i="19"/>
  <c r="S61" i="19"/>
  <c r="G63" i="19"/>
  <c r="K63" i="19"/>
  <c r="J81" i="18"/>
  <c r="L10" i="25"/>
  <c r="J63" i="20"/>
  <c r="J58" i="22"/>
  <c r="M75" i="21"/>
  <c r="M55" i="22"/>
  <c r="D62" i="21"/>
  <c r="N62" i="21"/>
  <c r="M62" i="21"/>
  <c r="F58" i="21"/>
  <c r="E55" i="22"/>
  <c r="O62" i="21"/>
  <c r="I62" i="21"/>
  <c r="L62" i="21"/>
  <c r="O58" i="21"/>
  <c r="H55" i="21"/>
  <c r="F62" i="21"/>
  <c r="E62" i="21"/>
  <c r="K67" i="21"/>
  <c r="O81" i="18"/>
  <c r="Q10" i="25"/>
  <c r="N81" i="18"/>
  <c r="P10" i="25"/>
  <c r="N99" i="11"/>
  <c r="F34" i="9"/>
  <c r="N101" i="11"/>
  <c r="P101" i="11"/>
  <c r="E59" i="22"/>
  <c r="D59" i="22"/>
  <c r="J59" i="22"/>
  <c r="N67" i="21"/>
  <c r="M59" i="22"/>
  <c r="K59" i="22"/>
  <c r="N101" i="13"/>
  <c r="E63" i="20"/>
  <c r="O101" i="12"/>
  <c r="N57" i="21"/>
  <c r="K57" i="21"/>
  <c r="N99" i="13"/>
  <c r="H34" i="9"/>
  <c r="L55" i="22"/>
  <c r="K55" i="22"/>
  <c r="G55" i="22"/>
  <c r="H57" i="21"/>
  <c r="I57" i="21"/>
  <c r="N55" i="22"/>
  <c r="J55" i="22"/>
  <c r="D55" i="22"/>
  <c r="O55" i="22"/>
  <c r="F55" i="22"/>
  <c r="O57" i="21"/>
  <c r="K58" i="21"/>
  <c r="I58" i="21"/>
  <c r="L59" i="22"/>
  <c r="O59" i="22"/>
  <c r="D56" i="21"/>
  <c r="M63" i="20"/>
  <c r="L56" i="21"/>
  <c r="H58" i="21"/>
  <c r="N59" i="22"/>
  <c r="F59" i="22"/>
  <c r="M55" i="21"/>
  <c r="J60" i="21"/>
  <c r="O61" i="22"/>
  <c r="L61" i="22"/>
  <c r="F61" i="22"/>
  <c r="M67" i="21"/>
  <c r="G67" i="21"/>
  <c r="J66" i="21"/>
  <c r="M58" i="22"/>
  <c r="E67" i="21"/>
  <c r="I67" i="21"/>
  <c r="I63" i="20"/>
  <c r="D58" i="22"/>
  <c r="J67" i="21"/>
  <c r="L67" i="21"/>
  <c r="O67" i="21"/>
  <c r="X14" i="1"/>
  <c r="F66" i="21"/>
  <c r="O66" i="21"/>
  <c r="E57" i="21"/>
  <c r="D57" i="21"/>
  <c r="F57" i="21"/>
  <c r="M57" i="21"/>
  <c r="G57" i="21"/>
  <c r="X17" i="1"/>
  <c r="W15" i="13"/>
  <c r="X15" i="13"/>
  <c r="N75" i="21"/>
  <c r="M74" i="21"/>
  <c r="K75" i="21"/>
  <c r="K74" i="21"/>
  <c r="W14" i="13"/>
  <c r="X14" i="13"/>
  <c r="J61" i="22"/>
  <c r="M61" i="22"/>
  <c r="G61" i="22"/>
  <c r="I58" i="22"/>
  <c r="F58" i="22"/>
  <c r="G58" i="22"/>
  <c r="N66" i="21"/>
  <c r="I66" i="21"/>
  <c r="K61" i="22"/>
  <c r="D61" i="22"/>
  <c r="L58" i="22"/>
  <c r="K58" i="22"/>
  <c r="N58" i="22"/>
  <c r="M66" i="21"/>
  <c r="D66" i="21"/>
  <c r="H61" i="22"/>
  <c r="E61" i="22"/>
  <c r="I61" i="22"/>
  <c r="E58" i="22"/>
  <c r="H58" i="22"/>
  <c r="H66" i="21"/>
  <c r="K66" i="21"/>
  <c r="K55" i="21"/>
  <c r="F67" i="21"/>
  <c r="D67" i="21"/>
  <c r="O60" i="21"/>
  <c r="H63" i="20"/>
  <c r="N58" i="21"/>
  <c r="L58" i="21"/>
  <c r="J55" i="21"/>
  <c r="E60" i="21"/>
  <c r="G66" i="21"/>
  <c r="E66" i="21"/>
  <c r="O63" i="20"/>
  <c r="J58" i="21"/>
  <c r="G58" i="21"/>
  <c r="E58" i="21"/>
  <c r="I59" i="22"/>
  <c r="H59" i="22"/>
  <c r="I55" i="21"/>
  <c r="G55" i="21"/>
  <c r="O55" i="21"/>
  <c r="I56" i="21"/>
  <c r="J56" i="21"/>
  <c r="N56" i="21"/>
  <c r="F60" i="21"/>
  <c r="M60" i="21"/>
  <c r="D60" i="21"/>
  <c r="L63" i="20"/>
  <c r="E55" i="21"/>
  <c r="L55" i="21"/>
  <c r="F55" i="21"/>
  <c r="O56" i="21"/>
  <c r="H56" i="21"/>
  <c r="M56" i="21"/>
  <c r="N60" i="21"/>
  <c r="K60" i="21"/>
  <c r="G17" i="9"/>
  <c r="J14" i="16"/>
  <c r="D55" i="21"/>
  <c r="K56" i="21"/>
  <c r="F56" i="21"/>
  <c r="E56" i="21"/>
  <c r="G60" i="21"/>
  <c r="L60" i="21"/>
  <c r="H60" i="21"/>
  <c r="S71" i="19"/>
  <c r="S56" i="20"/>
  <c r="S73" i="20"/>
  <c r="H81" i="18"/>
  <c r="J10" i="25"/>
  <c r="F81" i="18"/>
  <c r="H10" i="25"/>
  <c r="G81" i="18"/>
  <c r="I10" i="25"/>
  <c r="H25" i="9"/>
  <c r="K71" i="22"/>
  <c r="I75" i="21"/>
  <c r="F75" i="21"/>
  <c r="O75" i="21"/>
  <c r="H74" i="21"/>
  <c r="F74" i="21"/>
  <c r="L74" i="21"/>
  <c r="G63" i="20"/>
  <c r="K63" i="20"/>
  <c r="W16" i="11"/>
  <c r="X16" i="11"/>
  <c r="W12" i="13"/>
  <c r="X12" i="13"/>
  <c r="M81" i="18"/>
  <c r="O10" i="25"/>
  <c r="D81" i="18"/>
  <c r="F10" i="25"/>
  <c r="I81" i="18"/>
  <c r="K10" i="25"/>
  <c r="K99" i="13"/>
  <c r="D75" i="21"/>
  <c r="J75" i="21"/>
  <c r="L75" i="21"/>
  <c r="I74" i="21"/>
  <c r="J74" i="21"/>
  <c r="N74" i="21"/>
  <c r="E81" i="18"/>
  <c r="G10" i="25"/>
  <c r="K81" i="18"/>
  <c r="M10" i="25"/>
  <c r="P99" i="11"/>
  <c r="F36" i="9"/>
  <c r="G75" i="21"/>
  <c r="E75" i="21"/>
  <c r="G74" i="21"/>
  <c r="D74" i="21"/>
  <c r="W14" i="12"/>
  <c r="X14" i="12"/>
  <c r="Q99" i="13"/>
  <c r="T101" i="10"/>
  <c r="E85" i="18"/>
  <c r="G14" i="25"/>
  <c r="M85" i="18"/>
  <c r="O14" i="25"/>
  <c r="W10" i="12"/>
  <c r="X10" i="12"/>
  <c r="N85" i="19"/>
  <c r="P99" i="13"/>
  <c r="H36" i="9"/>
  <c r="M99" i="11"/>
  <c r="F33" i="9"/>
  <c r="W8" i="11"/>
  <c r="T101" i="11"/>
  <c r="S55" i="20"/>
  <c r="G73" i="22"/>
  <c r="E73" i="22"/>
  <c r="K73" i="22"/>
  <c r="F73" i="22"/>
  <c r="L73" i="22"/>
  <c r="J73" i="22"/>
  <c r="H73" i="22"/>
  <c r="I73" i="22"/>
  <c r="M73" i="22"/>
  <c r="N73" i="22"/>
  <c r="O74" i="22"/>
  <c r="D74" i="22"/>
  <c r="H74" i="22"/>
  <c r="M74" i="22"/>
  <c r="N74" i="22"/>
  <c r="F74" i="22"/>
  <c r="I74" i="22"/>
  <c r="J74" i="22"/>
  <c r="K74" i="22"/>
  <c r="L74" i="22"/>
  <c r="G74" i="22"/>
  <c r="E74" i="22"/>
  <c r="O73" i="22"/>
  <c r="L57" i="22"/>
  <c r="M57" i="22"/>
  <c r="H57" i="22"/>
  <c r="G57" i="22"/>
  <c r="K57" i="22"/>
  <c r="I57" i="22"/>
  <c r="E57" i="22"/>
  <c r="J57" i="22"/>
  <c r="N57" i="22"/>
  <c r="O57" i="22"/>
  <c r="D57" i="22"/>
  <c r="F57" i="22"/>
  <c r="M75" i="22"/>
  <c r="K75" i="22"/>
  <c r="L75" i="22"/>
  <c r="I75" i="22"/>
  <c r="F75" i="22"/>
  <c r="J75" i="22"/>
  <c r="G75" i="22"/>
  <c r="O75" i="22"/>
  <c r="E75" i="22"/>
  <c r="D75" i="22"/>
  <c r="H75" i="22"/>
  <c r="N75" i="22"/>
  <c r="D70" i="22"/>
  <c r="N70" i="22"/>
  <c r="H70" i="22"/>
  <c r="J70" i="22"/>
  <c r="I70" i="22"/>
  <c r="O70" i="22"/>
  <c r="M70" i="22"/>
  <c r="K70" i="22"/>
  <c r="F70" i="22"/>
  <c r="G70" i="22"/>
  <c r="L70" i="22"/>
  <c r="E70" i="22"/>
  <c r="K60" i="22"/>
  <c r="F60" i="22"/>
  <c r="H60" i="22"/>
  <c r="M60" i="22"/>
  <c r="E60" i="22"/>
  <c r="D60" i="22"/>
  <c r="N60" i="22"/>
  <c r="L60" i="22"/>
  <c r="J60" i="22"/>
  <c r="O60" i="22"/>
  <c r="G60" i="22"/>
  <c r="F66" i="22"/>
  <c r="N66" i="22"/>
  <c r="K66" i="22"/>
  <c r="O66" i="22"/>
  <c r="J66" i="22"/>
  <c r="M66" i="22"/>
  <c r="G66" i="22"/>
  <c r="L66" i="22"/>
  <c r="I66" i="22"/>
  <c r="D66" i="22"/>
  <c r="H66" i="22"/>
  <c r="E66" i="22"/>
  <c r="E69" i="22"/>
  <c r="N69" i="22"/>
  <c r="O69" i="22"/>
  <c r="D69" i="22"/>
  <c r="G69" i="22"/>
  <c r="J69" i="22"/>
  <c r="F69" i="22"/>
  <c r="M69" i="22"/>
  <c r="H69" i="22"/>
  <c r="K69" i="22"/>
  <c r="L69" i="22"/>
  <c r="I69" i="22"/>
  <c r="L62" i="22"/>
  <c r="I62" i="22"/>
  <c r="M62" i="22"/>
  <c r="J62" i="22"/>
  <c r="K62" i="22"/>
  <c r="O62" i="22"/>
  <c r="H62" i="22"/>
  <c r="E62" i="22"/>
  <c r="G62" i="22"/>
  <c r="N62" i="22"/>
  <c r="D62" i="22"/>
  <c r="F62" i="22"/>
  <c r="F67" i="22"/>
  <c r="H67" i="22"/>
  <c r="K67" i="22"/>
  <c r="E67" i="22"/>
  <c r="G67" i="22"/>
  <c r="N67" i="22"/>
  <c r="J67" i="22"/>
  <c r="M67" i="22"/>
  <c r="L67" i="22"/>
  <c r="O67" i="22"/>
  <c r="D67" i="22"/>
  <c r="I67" i="22"/>
  <c r="I60" i="22"/>
  <c r="S55" i="19"/>
  <c r="D63" i="19"/>
  <c r="J82" i="19"/>
  <c r="H82" i="19"/>
  <c r="N82" i="19"/>
  <c r="M82" i="19"/>
  <c r="D82" i="19"/>
  <c r="E82" i="19"/>
  <c r="K82" i="19"/>
  <c r="I82" i="19"/>
  <c r="F82" i="19"/>
  <c r="G82" i="19"/>
  <c r="O82" i="19"/>
  <c r="L82" i="19"/>
  <c r="E76" i="20"/>
  <c r="L76" i="20"/>
  <c r="J81" i="19"/>
  <c r="D81" i="19"/>
  <c r="F81" i="19"/>
  <c r="H81" i="19"/>
  <c r="G81" i="19"/>
  <c r="N81" i="19"/>
  <c r="K81" i="19"/>
  <c r="O81" i="19"/>
  <c r="L81" i="19"/>
  <c r="M81" i="19"/>
  <c r="I81" i="19"/>
  <c r="E81" i="19"/>
  <c r="D79" i="18"/>
  <c r="F79" i="18"/>
  <c r="I79" i="18"/>
  <c r="M79" i="18"/>
  <c r="G79" i="18"/>
  <c r="E79" i="18"/>
  <c r="K79" i="18"/>
  <c r="N79" i="18"/>
  <c r="H79" i="18"/>
  <c r="J79" i="18"/>
  <c r="L79" i="18"/>
  <c r="O79" i="18"/>
  <c r="X16" i="1"/>
  <c r="W8" i="12"/>
  <c r="S68" i="20"/>
  <c r="D76" i="20"/>
  <c r="G76" i="20"/>
  <c r="J76" i="20"/>
  <c r="M80" i="19"/>
  <c r="L80" i="19"/>
  <c r="K80" i="19"/>
  <c r="I80" i="19"/>
  <c r="E80" i="19"/>
  <c r="H80" i="19"/>
  <c r="O80" i="19"/>
  <c r="F80" i="19"/>
  <c r="G80" i="19"/>
  <c r="D80" i="19"/>
  <c r="N80" i="19"/>
  <c r="J80" i="19"/>
  <c r="W8" i="13"/>
  <c r="T101" i="13"/>
  <c r="S71" i="20"/>
  <c r="F14" i="16"/>
  <c r="T99" i="11"/>
  <c r="F39" i="9"/>
  <c r="M99" i="12"/>
  <c r="G33" i="9"/>
  <c r="M101" i="12"/>
  <c r="N76" i="20"/>
  <c r="K76" i="20"/>
  <c r="O76" i="20"/>
  <c r="M76" i="20"/>
  <c r="L68" i="22"/>
  <c r="J68" i="22"/>
  <c r="N68" i="22"/>
  <c r="F68" i="22"/>
  <c r="M68" i="22"/>
  <c r="I68" i="22"/>
  <c r="H68" i="22"/>
  <c r="G68" i="22"/>
  <c r="E68" i="22"/>
  <c r="K68" i="22"/>
  <c r="O68" i="22"/>
  <c r="D68" i="22"/>
  <c r="M99" i="10"/>
  <c r="E33" i="9"/>
  <c r="M101" i="10"/>
  <c r="X15" i="1"/>
  <c r="M68" i="21"/>
  <c r="K68" i="21"/>
  <c r="J68" i="21"/>
  <c r="I68" i="21"/>
  <c r="E68" i="21"/>
  <c r="H68" i="21"/>
  <c r="D68" i="21"/>
  <c r="F68" i="21"/>
  <c r="N68" i="21"/>
  <c r="G68" i="21"/>
  <c r="O68" i="21"/>
  <c r="L68" i="21"/>
  <c r="G30" i="9"/>
  <c r="J15" i="16"/>
  <c r="K99" i="12"/>
  <c r="D80" i="18"/>
  <c r="H80" i="18"/>
  <c r="E80" i="18"/>
  <c r="M80" i="18"/>
  <c r="J80" i="18"/>
  <c r="G80" i="18"/>
  <c r="O80" i="18"/>
  <c r="I80" i="18"/>
  <c r="F80" i="18"/>
  <c r="L80" i="18"/>
  <c r="N80" i="18"/>
  <c r="K80" i="18"/>
  <c r="H76" i="20"/>
  <c r="F76" i="20"/>
  <c r="I76" i="20"/>
  <c r="M71" i="21"/>
  <c r="G71" i="21"/>
  <c r="I71" i="21"/>
  <c r="K71" i="21"/>
  <c r="F71" i="21"/>
  <c r="E71" i="21"/>
  <c r="L71" i="21"/>
  <c r="N71" i="21"/>
  <c r="J71" i="21"/>
  <c r="O71" i="21"/>
  <c r="D71" i="21"/>
  <c r="H71" i="21"/>
  <c r="P101" i="13"/>
  <c r="K161" i="22"/>
  <c r="K163" i="22"/>
  <c r="J161" i="22"/>
  <c r="J163" i="22"/>
  <c r="I161" i="22"/>
  <c r="I163" i="22"/>
  <c r="D161" i="22"/>
  <c r="M161" i="22"/>
  <c r="M163" i="22"/>
  <c r="F161" i="22"/>
  <c r="F163" i="22"/>
  <c r="O161" i="22"/>
  <c r="O163" i="22"/>
  <c r="G161" i="22"/>
  <c r="G163" i="22"/>
  <c r="N161" i="22"/>
  <c r="N163" i="22"/>
  <c r="H161" i="22"/>
  <c r="H163" i="22"/>
  <c r="E161" i="22"/>
  <c r="E163" i="22"/>
  <c r="L161" i="22"/>
  <c r="L163" i="22"/>
  <c r="O163" i="21"/>
  <c r="L112" i="22"/>
  <c r="S112" i="29"/>
  <c r="S91" i="22"/>
  <c r="F108" i="22"/>
  <c r="S44" i="21"/>
  <c r="S44" i="22"/>
  <c r="F50" i="22"/>
  <c r="Q23" i="22"/>
  <c r="S18" i="22"/>
  <c r="S26" i="22"/>
  <c r="K128" i="21"/>
  <c r="D128" i="21"/>
  <c r="H128" i="21"/>
  <c r="F21" i="32"/>
  <c r="P23" i="18"/>
  <c r="F45" i="25"/>
  <c r="D23" i="18"/>
  <c r="Q23" i="18"/>
  <c r="O45" i="25"/>
  <c r="M23" i="18"/>
  <c r="F71" i="32"/>
  <c r="F74" i="32"/>
  <c r="F95" i="32"/>
  <c r="D95" i="32"/>
  <c r="L45" i="25"/>
  <c r="J23" i="18"/>
  <c r="S17" i="18"/>
  <c r="F46" i="25"/>
  <c r="D109" i="9"/>
  <c r="D74" i="8"/>
  <c r="H11" i="16"/>
  <c r="S120" i="22"/>
  <c r="O23" i="22"/>
  <c r="R23" i="20"/>
  <c r="K23" i="22"/>
  <c r="M23" i="22"/>
  <c r="G23" i="20"/>
  <c r="O23" i="20"/>
  <c r="N23" i="20"/>
  <c r="S17" i="20"/>
  <c r="I23" i="18"/>
  <c r="N23" i="19"/>
  <c r="J45" i="25"/>
  <c r="N23" i="18"/>
  <c r="S152" i="18"/>
  <c r="L23" i="18"/>
  <c r="H23" i="19"/>
  <c r="R42" i="25"/>
  <c r="Q51" i="19"/>
  <c r="Q160" i="19"/>
  <c r="E15" i="20"/>
  <c r="E23" i="20"/>
  <c r="E51" i="20"/>
  <c r="L23" i="19"/>
  <c r="Q45" i="25"/>
  <c r="G45" i="25"/>
  <c r="K23" i="18"/>
  <c r="K51" i="18"/>
  <c r="L23" i="22"/>
  <c r="L51" i="22"/>
  <c r="S21" i="20"/>
  <c r="G23" i="18"/>
  <c r="G51" i="18"/>
  <c r="S14" i="18"/>
  <c r="F23" i="18"/>
  <c r="S21" i="19"/>
  <c r="D63" i="8"/>
  <c r="D76" i="8"/>
  <c r="D85" i="9"/>
  <c r="E47" i="8"/>
  <c r="R36" i="25"/>
  <c r="S118" i="22"/>
  <c r="S116" i="22"/>
  <c r="R23" i="22"/>
  <c r="F38" i="9"/>
  <c r="L84" i="20"/>
  <c r="S112" i="22"/>
  <c r="F8" i="16"/>
  <c r="F11" i="16"/>
  <c r="Q23" i="20"/>
  <c r="O23" i="21"/>
  <c r="E152" i="20"/>
  <c r="E155" i="20"/>
  <c r="H152" i="20"/>
  <c r="H155" i="20"/>
  <c r="D152" i="20"/>
  <c r="N152" i="20"/>
  <c r="N155" i="20"/>
  <c r="M152" i="20"/>
  <c r="M155" i="20"/>
  <c r="J152" i="20"/>
  <c r="J155" i="20"/>
  <c r="F110" i="9"/>
  <c r="H21" i="16"/>
  <c r="K152" i="20"/>
  <c r="K155" i="20"/>
  <c r="G152" i="20"/>
  <c r="G155" i="20"/>
  <c r="F152" i="20"/>
  <c r="F155" i="20"/>
  <c r="I152" i="20"/>
  <c r="I155" i="20"/>
  <c r="O152" i="20"/>
  <c r="O155" i="20"/>
  <c r="L152" i="20"/>
  <c r="L155" i="20"/>
  <c r="D155" i="19"/>
  <c r="S152" i="19"/>
  <c r="F152" i="21"/>
  <c r="F155" i="21"/>
  <c r="J152" i="21"/>
  <c r="J155" i="21"/>
  <c r="E152" i="21"/>
  <c r="E155" i="21"/>
  <c r="N152" i="21"/>
  <c r="N155" i="21"/>
  <c r="G110" i="9"/>
  <c r="J21" i="16"/>
  <c r="K152" i="21"/>
  <c r="K155" i="21"/>
  <c r="D152" i="21"/>
  <c r="H152" i="21"/>
  <c r="H155" i="21"/>
  <c r="G152" i="21"/>
  <c r="G155" i="21"/>
  <c r="I152" i="21"/>
  <c r="I155" i="21"/>
  <c r="M152" i="21"/>
  <c r="M155" i="21"/>
  <c r="L152" i="21"/>
  <c r="L155" i="21"/>
  <c r="O152" i="21"/>
  <c r="O155" i="21"/>
  <c r="H152" i="22"/>
  <c r="H155" i="22"/>
  <c r="K152" i="22"/>
  <c r="K155" i="22"/>
  <c r="F152" i="22"/>
  <c r="F155" i="22"/>
  <c r="E152" i="22"/>
  <c r="E155" i="22"/>
  <c r="L152" i="22"/>
  <c r="L155" i="22"/>
  <c r="M152" i="22"/>
  <c r="M155" i="22"/>
  <c r="H110" i="9"/>
  <c r="L21" i="16"/>
  <c r="G152" i="22"/>
  <c r="G155" i="22"/>
  <c r="I152" i="22"/>
  <c r="I155" i="22"/>
  <c r="D152" i="22"/>
  <c r="N152" i="22"/>
  <c r="N155" i="22"/>
  <c r="O152" i="22"/>
  <c r="O155" i="22"/>
  <c r="J152" i="22"/>
  <c r="J155" i="22"/>
  <c r="K56" i="22"/>
  <c r="S99" i="12"/>
  <c r="G38" i="9"/>
  <c r="E84" i="21"/>
  <c r="F56" i="22"/>
  <c r="F63" i="22"/>
  <c r="D56" i="22"/>
  <c r="D63" i="22"/>
  <c r="L56" i="22"/>
  <c r="S121" i="21"/>
  <c r="J51" i="18"/>
  <c r="D48" i="15"/>
  <c r="D11" i="16"/>
  <c r="L51" i="19"/>
  <c r="P23" i="21"/>
  <c r="S16" i="18"/>
  <c r="S16" i="22"/>
  <c r="I23" i="20"/>
  <c r="I51" i="20"/>
  <c r="H23" i="22"/>
  <c r="E34" i="18"/>
  <c r="S29" i="18"/>
  <c r="S28" i="18"/>
  <c r="D34" i="18"/>
  <c r="G34" i="18"/>
  <c r="I23" i="21"/>
  <c r="I51" i="21"/>
  <c r="P34" i="18"/>
  <c r="P51" i="18"/>
  <c r="P160" i="18"/>
  <c r="D15" i="19"/>
  <c r="D23" i="19"/>
  <c r="D51" i="19"/>
  <c r="H34" i="18"/>
  <c r="L34" i="18"/>
  <c r="S41" i="18"/>
  <c r="K34" i="18"/>
  <c r="R34" i="18"/>
  <c r="R51" i="18"/>
  <c r="R160" i="18"/>
  <c r="F15" i="19"/>
  <c r="F23" i="19"/>
  <c r="F51" i="19"/>
  <c r="F34" i="18"/>
  <c r="I34" i="18"/>
  <c r="I51" i="18"/>
  <c r="O56" i="22"/>
  <c r="O63" i="22"/>
  <c r="G84" i="18"/>
  <c r="I13" i="25"/>
  <c r="S72" i="22"/>
  <c r="I56" i="22"/>
  <c r="H56" i="22"/>
  <c r="H63" i="22"/>
  <c r="N56" i="22"/>
  <c r="N63" i="22"/>
  <c r="H17" i="9"/>
  <c r="L14" i="16"/>
  <c r="E56" i="22"/>
  <c r="E63" i="22"/>
  <c r="M56" i="22"/>
  <c r="M63" i="22"/>
  <c r="J56" i="22"/>
  <c r="S116" i="21"/>
  <c r="J84" i="18"/>
  <c r="L13" i="25"/>
  <c r="H84" i="18"/>
  <c r="J13" i="25"/>
  <c r="S72" i="21"/>
  <c r="I84" i="18"/>
  <c r="K13" i="25"/>
  <c r="M84" i="18"/>
  <c r="O13" i="25"/>
  <c r="O84" i="18"/>
  <c r="Q13" i="25"/>
  <c r="K84" i="18"/>
  <c r="M13" i="25"/>
  <c r="N84" i="18"/>
  <c r="P13" i="25"/>
  <c r="D84" i="18"/>
  <c r="F13" i="25"/>
  <c r="F84" i="18"/>
  <c r="H13" i="25"/>
  <c r="L84" i="18"/>
  <c r="N13" i="25"/>
  <c r="S14" i="20"/>
  <c r="R51" i="19"/>
  <c r="R160" i="19"/>
  <c r="F15" i="20"/>
  <c r="F23" i="20"/>
  <c r="F51" i="20"/>
  <c r="L23" i="20"/>
  <c r="L51" i="20"/>
  <c r="F50" i="18"/>
  <c r="E50" i="18"/>
  <c r="Q51" i="18"/>
  <c r="Q160" i="18"/>
  <c r="E15" i="19"/>
  <c r="E23" i="19"/>
  <c r="E51" i="19"/>
  <c r="S16" i="19"/>
  <c r="I51" i="19"/>
  <c r="F30" i="32"/>
  <c r="F31" i="32"/>
  <c r="Q51" i="20"/>
  <c r="Q160" i="20"/>
  <c r="E15" i="21"/>
  <c r="E23" i="21"/>
  <c r="R23" i="21"/>
  <c r="H23" i="21"/>
  <c r="M23" i="21"/>
  <c r="H51" i="18"/>
  <c r="G34" i="22"/>
  <c r="G51" i="22"/>
  <c r="L23" i="21"/>
  <c r="L51" i="21"/>
  <c r="G23" i="21"/>
  <c r="J34" i="22"/>
  <c r="J51" i="22"/>
  <c r="R34" i="21"/>
  <c r="M128" i="21"/>
  <c r="K51" i="22"/>
  <c r="O51" i="19"/>
  <c r="I34" i="22"/>
  <c r="I51" i="22"/>
  <c r="P51" i="20"/>
  <c r="P160" i="20"/>
  <c r="D15" i="21"/>
  <c r="D23" i="21"/>
  <c r="O34" i="21"/>
  <c r="O51" i="21"/>
  <c r="S21" i="22"/>
  <c r="I128" i="21"/>
  <c r="F128" i="21"/>
  <c r="R34" i="22"/>
  <c r="R51" i="22"/>
  <c r="R160" i="22"/>
  <c r="O51" i="20"/>
  <c r="H51" i="19"/>
  <c r="E34" i="22"/>
  <c r="N34" i="22"/>
  <c r="N51" i="22"/>
  <c r="F34" i="22"/>
  <c r="Q23" i="21"/>
  <c r="H34" i="21"/>
  <c r="M51" i="20"/>
  <c r="P51" i="22"/>
  <c r="P160" i="22"/>
  <c r="J34" i="21"/>
  <c r="J51" i="21"/>
  <c r="K51" i="20"/>
  <c r="H51" i="20"/>
  <c r="G51" i="20"/>
  <c r="S21" i="21"/>
  <c r="S16" i="20"/>
  <c r="R51" i="20"/>
  <c r="R160" i="20"/>
  <c r="F15" i="21"/>
  <c r="F23" i="21"/>
  <c r="F48" i="15"/>
  <c r="J51" i="20"/>
  <c r="N51" i="20"/>
  <c r="S41" i="20"/>
  <c r="D50" i="20"/>
  <c r="S41" i="21"/>
  <c r="D50" i="21"/>
  <c r="S16" i="21"/>
  <c r="M34" i="22"/>
  <c r="H34" i="22"/>
  <c r="F34" i="21"/>
  <c r="P34" i="21"/>
  <c r="M34" i="21"/>
  <c r="M99" i="13"/>
  <c r="O101" i="13"/>
  <c r="D82" i="18"/>
  <c r="F11" i="25"/>
  <c r="S101" i="13"/>
  <c r="E82" i="18"/>
  <c r="G11" i="25"/>
  <c r="I82" i="18"/>
  <c r="K11" i="25"/>
  <c r="J82" i="18"/>
  <c r="L11" i="25"/>
  <c r="O82" i="18"/>
  <c r="Q11" i="25"/>
  <c r="F82" i="18"/>
  <c r="H11" i="25"/>
  <c r="H82" i="18"/>
  <c r="J11" i="25"/>
  <c r="M82" i="18"/>
  <c r="O11" i="25"/>
  <c r="N82" i="18"/>
  <c r="P11" i="25"/>
  <c r="G82" i="18"/>
  <c r="I11" i="25"/>
  <c r="L82" i="18"/>
  <c r="N11" i="25"/>
  <c r="R46" i="25"/>
  <c r="P51" i="19"/>
  <c r="P160" i="19"/>
  <c r="D15" i="20"/>
  <c r="D23" i="20"/>
  <c r="M51" i="19"/>
  <c r="G51" i="19"/>
  <c r="N51" i="19"/>
  <c r="K51" i="19"/>
  <c r="M51" i="18"/>
  <c r="O51" i="18"/>
  <c r="N51" i="18"/>
  <c r="J51" i="19"/>
  <c r="G34" i="21"/>
  <c r="Q51" i="22"/>
  <c r="Q160" i="22"/>
  <c r="Q34" i="21"/>
  <c r="J11" i="16"/>
  <c r="O34" i="22"/>
  <c r="O51" i="22"/>
  <c r="K34" i="21"/>
  <c r="K51" i="21"/>
  <c r="E34" i="21"/>
  <c r="G48" i="15"/>
  <c r="S28" i="22"/>
  <c r="S28" i="21"/>
  <c r="H48" i="15"/>
  <c r="N51" i="21"/>
  <c r="L11" i="16"/>
  <c r="S29" i="21"/>
  <c r="D34" i="21"/>
  <c r="D34" i="22"/>
  <c r="S29" i="22"/>
  <c r="G128" i="21"/>
  <c r="J128" i="21"/>
  <c r="O128" i="21"/>
  <c r="N128" i="21"/>
  <c r="L128" i="21"/>
  <c r="M128" i="20"/>
  <c r="M144" i="20"/>
  <c r="K128" i="20"/>
  <c r="K144" i="20"/>
  <c r="E128" i="20"/>
  <c r="E144" i="20"/>
  <c r="G128" i="20"/>
  <c r="G144" i="20"/>
  <c r="J128" i="20"/>
  <c r="J144" i="20"/>
  <c r="N128" i="20"/>
  <c r="N144" i="20"/>
  <c r="D128" i="20"/>
  <c r="O128" i="20"/>
  <c r="O144" i="20"/>
  <c r="H128" i="20"/>
  <c r="H144" i="20"/>
  <c r="F128" i="20"/>
  <c r="F144" i="20"/>
  <c r="I128" i="20"/>
  <c r="I144" i="20"/>
  <c r="L128" i="20"/>
  <c r="L144" i="20"/>
  <c r="F128" i="19"/>
  <c r="F144" i="19"/>
  <c r="O128" i="19"/>
  <c r="O144" i="19"/>
  <c r="K128" i="19"/>
  <c r="K144" i="19"/>
  <c r="M128" i="19"/>
  <c r="M144" i="19"/>
  <c r="D128" i="19"/>
  <c r="N128" i="19"/>
  <c r="N144" i="19"/>
  <c r="L128" i="19"/>
  <c r="L144" i="19"/>
  <c r="I128" i="19"/>
  <c r="I144" i="19"/>
  <c r="G128" i="19"/>
  <c r="G144" i="19"/>
  <c r="H128" i="19"/>
  <c r="H144" i="19"/>
  <c r="E128" i="19"/>
  <c r="E144" i="19"/>
  <c r="J128" i="19"/>
  <c r="J144" i="19"/>
  <c r="S128" i="18"/>
  <c r="O85" i="18"/>
  <c r="Q14" i="25"/>
  <c r="L85" i="18"/>
  <c r="N14" i="25"/>
  <c r="D85" i="18"/>
  <c r="F14" i="25"/>
  <c r="I85" i="18"/>
  <c r="K14" i="25"/>
  <c r="N85" i="18"/>
  <c r="P14" i="25"/>
  <c r="H85" i="18"/>
  <c r="J14" i="25"/>
  <c r="F85" i="18"/>
  <c r="H14" i="25"/>
  <c r="G85" i="18"/>
  <c r="I14" i="25"/>
  <c r="J85" i="18"/>
  <c r="L14" i="25"/>
  <c r="E81" i="22"/>
  <c r="L80" i="22"/>
  <c r="M81" i="21"/>
  <c r="L81" i="20"/>
  <c r="G81" i="20"/>
  <c r="N81" i="20"/>
  <c r="M81" i="20"/>
  <c r="P101" i="12"/>
  <c r="I81" i="20"/>
  <c r="E81" i="20"/>
  <c r="K81" i="20"/>
  <c r="D81" i="20"/>
  <c r="F81" i="20"/>
  <c r="S73" i="21"/>
  <c r="J81" i="20"/>
  <c r="H81" i="20"/>
  <c r="G80" i="20"/>
  <c r="I82" i="20"/>
  <c r="S61" i="21"/>
  <c r="S59" i="21"/>
  <c r="S69" i="21"/>
  <c r="S70" i="21"/>
  <c r="T101" i="12"/>
  <c r="S62" i="21"/>
  <c r="N99" i="12"/>
  <c r="G34" i="9"/>
  <c r="N101" i="12"/>
  <c r="S75" i="21"/>
  <c r="I63" i="21"/>
  <c r="S55" i="22"/>
  <c r="F63" i="21"/>
  <c r="G63" i="21"/>
  <c r="S67" i="21"/>
  <c r="D63" i="21"/>
  <c r="N63" i="21"/>
  <c r="S57" i="21"/>
  <c r="S56" i="21"/>
  <c r="H63" i="21"/>
  <c r="O63" i="21"/>
  <c r="K63" i="21"/>
  <c r="M63" i="21"/>
  <c r="L63" i="21"/>
  <c r="S58" i="21"/>
  <c r="S58" i="22"/>
  <c r="S61" i="22"/>
  <c r="S66" i="21"/>
  <c r="E71" i="22"/>
  <c r="E76" i="22"/>
  <c r="J63" i="21"/>
  <c r="G63" i="22"/>
  <c r="D71" i="22"/>
  <c r="D76" i="22"/>
  <c r="E63" i="21"/>
  <c r="S60" i="21"/>
  <c r="S59" i="22"/>
  <c r="N71" i="22"/>
  <c r="N76" i="22"/>
  <c r="G71" i="22"/>
  <c r="G76" i="22"/>
  <c r="O71" i="22"/>
  <c r="O76" i="22"/>
  <c r="M71" i="22"/>
  <c r="M76" i="22"/>
  <c r="H30" i="9"/>
  <c r="L15" i="16"/>
  <c r="J71" i="22"/>
  <c r="J76" i="22"/>
  <c r="H71" i="22"/>
  <c r="H76" i="22"/>
  <c r="L71" i="22"/>
  <c r="L76" i="22"/>
  <c r="S55" i="21"/>
  <c r="I71" i="22"/>
  <c r="I76" i="22"/>
  <c r="F71" i="22"/>
  <c r="F76" i="22"/>
  <c r="S74" i="21"/>
  <c r="S81" i="18"/>
  <c r="R10" i="25"/>
  <c r="S73" i="22"/>
  <c r="J63" i="22"/>
  <c r="D85" i="19"/>
  <c r="G85" i="19"/>
  <c r="F85" i="19"/>
  <c r="H85" i="19"/>
  <c r="K85" i="19"/>
  <c r="I85" i="19"/>
  <c r="E85" i="19"/>
  <c r="J85" i="19"/>
  <c r="L85" i="19"/>
  <c r="O85" i="19"/>
  <c r="M85" i="19"/>
  <c r="W10" i="13"/>
  <c r="X10" i="13"/>
  <c r="I63" i="22"/>
  <c r="S67" i="22"/>
  <c r="S62" i="22"/>
  <c r="L63" i="22"/>
  <c r="F76" i="21"/>
  <c r="J76" i="21"/>
  <c r="X8" i="11"/>
  <c r="S57" i="22"/>
  <c r="K79" i="20"/>
  <c r="D79" i="20"/>
  <c r="E79" i="20"/>
  <c r="F79" i="20"/>
  <c r="I79" i="20"/>
  <c r="G79" i="20"/>
  <c r="O79" i="20"/>
  <c r="M79" i="20"/>
  <c r="H79" i="20"/>
  <c r="N79" i="20"/>
  <c r="J79" i="20"/>
  <c r="L79" i="20"/>
  <c r="K63" i="22"/>
  <c r="S80" i="19"/>
  <c r="S71" i="21"/>
  <c r="S60" i="22"/>
  <c r="S66" i="22"/>
  <c r="S75" i="22"/>
  <c r="S69" i="22"/>
  <c r="S70" i="22"/>
  <c r="S74" i="22"/>
  <c r="S80" i="18"/>
  <c r="H82" i="22"/>
  <c r="L82" i="22"/>
  <c r="N82" i="22"/>
  <c r="O82" i="22"/>
  <c r="F82" i="22"/>
  <c r="G82" i="22"/>
  <c r="K82" i="22"/>
  <c r="I82" i="22"/>
  <c r="D82" i="22"/>
  <c r="J82" i="22"/>
  <c r="E82" i="22"/>
  <c r="M82" i="22"/>
  <c r="O76" i="21"/>
  <c r="S68" i="21"/>
  <c r="D76" i="21"/>
  <c r="S68" i="22"/>
  <c r="H85" i="20"/>
  <c r="E85" i="20"/>
  <c r="O85" i="20"/>
  <c r="K85" i="20"/>
  <c r="I85" i="20"/>
  <c r="M85" i="20"/>
  <c r="F85" i="20"/>
  <c r="D85" i="20"/>
  <c r="G85" i="20"/>
  <c r="J85" i="20"/>
  <c r="N85" i="20"/>
  <c r="L85" i="20"/>
  <c r="X8" i="13"/>
  <c r="M85" i="21"/>
  <c r="I85" i="21"/>
  <c r="O85" i="21"/>
  <c r="N85" i="21"/>
  <c r="E85" i="21"/>
  <c r="D85" i="21"/>
  <c r="L85" i="21"/>
  <c r="J85" i="21"/>
  <c r="K85" i="21"/>
  <c r="H85" i="21"/>
  <c r="G85" i="21"/>
  <c r="F85" i="21"/>
  <c r="P9" i="25"/>
  <c r="O9" i="25"/>
  <c r="L76" i="21"/>
  <c r="F82" i="21"/>
  <c r="G82" i="21"/>
  <c r="E82" i="21"/>
  <c r="H82" i="21"/>
  <c r="I82" i="21"/>
  <c r="J82" i="21"/>
  <c r="O82" i="21"/>
  <c r="K82" i="21"/>
  <c r="D82" i="21"/>
  <c r="L82" i="21"/>
  <c r="N82" i="21"/>
  <c r="M82" i="21"/>
  <c r="G76" i="21"/>
  <c r="H76" i="21"/>
  <c r="K76" i="21"/>
  <c r="I79" i="19"/>
  <c r="J79" i="19"/>
  <c r="O79" i="19"/>
  <c r="H79" i="19"/>
  <c r="D79" i="19"/>
  <c r="M79" i="19"/>
  <c r="K79" i="19"/>
  <c r="E79" i="19"/>
  <c r="N79" i="19"/>
  <c r="G79" i="19"/>
  <c r="L79" i="19"/>
  <c r="F79" i="19"/>
  <c r="N9" i="25"/>
  <c r="M9" i="25"/>
  <c r="K9" i="25"/>
  <c r="S82" i="19"/>
  <c r="I76" i="21"/>
  <c r="N76" i="21"/>
  <c r="E76" i="21"/>
  <c r="M76" i="21"/>
  <c r="K76" i="22"/>
  <c r="E85" i="22"/>
  <c r="N85" i="22"/>
  <c r="K85" i="22"/>
  <c r="J85" i="22"/>
  <c r="D85" i="22"/>
  <c r="H85" i="22"/>
  <c r="L85" i="22"/>
  <c r="O85" i="22"/>
  <c r="I85" i="22"/>
  <c r="F85" i="22"/>
  <c r="G85" i="22"/>
  <c r="M85" i="22"/>
  <c r="X8" i="12"/>
  <c r="L9" i="25"/>
  <c r="G9" i="25"/>
  <c r="H9" i="25"/>
  <c r="H79" i="21"/>
  <c r="I79" i="21"/>
  <c r="D79" i="21"/>
  <c r="K79" i="21"/>
  <c r="J79" i="21"/>
  <c r="F79" i="21"/>
  <c r="O79" i="21"/>
  <c r="N79" i="21"/>
  <c r="L79" i="21"/>
  <c r="E79" i="21"/>
  <c r="G79" i="21"/>
  <c r="M79" i="21"/>
  <c r="Q9" i="25"/>
  <c r="J9" i="25"/>
  <c r="I9" i="25"/>
  <c r="F9" i="25"/>
  <c r="S79" i="18"/>
  <c r="S81" i="19"/>
  <c r="H128" i="22"/>
  <c r="H144" i="22"/>
  <c r="G128" i="22"/>
  <c r="G144" i="22"/>
  <c r="K128" i="22"/>
  <c r="K144" i="22"/>
  <c r="N128" i="22"/>
  <c r="N144" i="22"/>
  <c r="M128" i="22"/>
  <c r="M144" i="22"/>
  <c r="J128" i="22"/>
  <c r="J144" i="22"/>
  <c r="L128" i="22"/>
  <c r="L144" i="22"/>
  <c r="I128" i="22"/>
  <c r="I144" i="22"/>
  <c r="F128" i="22"/>
  <c r="F144" i="22"/>
  <c r="D128" i="22"/>
  <c r="E128" i="22"/>
  <c r="E144" i="22"/>
  <c r="O128" i="22"/>
  <c r="O144" i="22"/>
  <c r="F76" i="32"/>
  <c r="F77" i="32"/>
  <c r="F81" i="32"/>
  <c r="O154" i="18"/>
  <c r="N154" i="18"/>
  <c r="J154" i="18"/>
  <c r="D154" i="18"/>
  <c r="D110" i="9"/>
  <c r="H154" i="18"/>
  <c r="M154" i="18"/>
  <c r="L154" i="18"/>
  <c r="I154" i="18"/>
  <c r="K154" i="18"/>
  <c r="E154" i="18"/>
  <c r="F154" i="18"/>
  <c r="G154" i="18"/>
  <c r="D51" i="18"/>
  <c r="M51" i="22"/>
  <c r="L51" i="18"/>
  <c r="R45" i="25"/>
  <c r="F51" i="18"/>
  <c r="E84" i="20"/>
  <c r="H84" i="20"/>
  <c r="N84" i="20"/>
  <c r="O84" i="20"/>
  <c r="K84" i="20"/>
  <c r="G84" i="20"/>
  <c r="J84" i="20"/>
  <c r="E85" i="9"/>
  <c r="F47" i="8"/>
  <c r="E63" i="8"/>
  <c r="E76" i="8"/>
  <c r="D99" i="9"/>
  <c r="D19" i="16"/>
  <c r="H130" i="18"/>
  <c r="E130" i="18"/>
  <c r="O130" i="18"/>
  <c r="I130" i="18"/>
  <c r="K130" i="18"/>
  <c r="N130" i="18"/>
  <c r="G130" i="18"/>
  <c r="L130" i="18"/>
  <c r="M130" i="18"/>
  <c r="J130" i="18"/>
  <c r="F130" i="18"/>
  <c r="D130" i="18"/>
  <c r="J144" i="21"/>
  <c r="F84" i="20"/>
  <c r="I84" i="20"/>
  <c r="D84" i="20"/>
  <c r="M84" i="20"/>
  <c r="H33" i="9"/>
  <c r="H79" i="22"/>
  <c r="P51" i="21"/>
  <c r="P160" i="21"/>
  <c r="D15" i="22"/>
  <c r="D23" i="22"/>
  <c r="D51" i="22"/>
  <c r="D155" i="22"/>
  <c r="S152" i="22"/>
  <c r="D155" i="21"/>
  <c r="S152" i="21"/>
  <c r="D155" i="20"/>
  <c r="S152" i="20"/>
  <c r="E51" i="18"/>
  <c r="H51" i="22"/>
  <c r="N144" i="21"/>
  <c r="I144" i="21"/>
  <c r="F83" i="32"/>
  <c r="G79" i="32"/>
  <c r="S15" i="19"/>
  <c r="F144" i="21"/>
  <c r="S56" i="22"/>
  <c r="S84" i="18"/>
  <c r="R13" i="25"/>
  <c r="O144" i="21"/>
  <c r="E51" i="21"/>
  <c r="L144" i="21"/>
  <c r="D144" i="21"/>
  <c r="G144" i="21"/>
  <c r="M144" i="21"/>
  <c r="L79" i="22"/>
  <c r="R51" i="21"/>
  <c r="R160" i="21"/>
  <c r="F15" i="22"/>
  <c r="F23" i="22"/>
  <c r="F51" i="22"/>
  <c r="H51" i="21"/>
  <c r="Q51" i="21"/>
  <c r="Q160" i="21"/>
  <c r="E15" i="22"/>
  <c r="E23" i="22"/>
  <c r="E51" i="22"/>
  <c r="D51" i="20"/>
  <c r="G51" i="21"/>
  <c r="M51" i="21"/>
  <c r="F51" i="21"/>
  <c r="S15" i="21"/>
  <c r="D51" i="21"/>
  <c r="R11" i="25"/>
  <c r="S82" i="18"/>
  <c r="H84" i="21"/>
  <c r="D84" i="21"/>
  <c r="M84" i="21"/>
  <c r="J84" i="21"/>
  <c r="I84" i="21"/>
  <c r="N84" i="21"/>
  <c r="G84" i="21"/>
  <c r="L84" i="21"/>
  <c r="F84" i="21"/>
  <c r="K84" i="21"/>
  <c r="O84" i="21"/>
  <c r="O80" i="22"/>
  <c r="S15" i="20"/>
  <c r="S128" i="21"/>
  <c r="D144" i="20"/>
  <c r="S128" i="20"/>
  <c r="D144" i="19"/>
  <c r="S128" i="19"/>
  <c r="S85" i="18"/>
  <c r="R14" i="25"/>
  <c r="F80" i="20"/>
  <c r="G81" i="22"/>
  <c r="N81" i="22"/>
  <c r="L81" i="22"/>
  <c r="M81" i="22"/>
  <c r="I81" i="22"/>
  <c r="O81" i="22"/>
  <c r="D81" i="22"/>
  <c r="J81" i="22"/>
  <c r="K81" i="22"/>
  <c r="F81" i="22"/>
  <c r="H81" i="22"/>
  <c r="K80" i="22"/>
  <c r="N80" i="22"/>
  <c r="E80" i="22"/>
  <c r="I80" i="22"/>
  <c r="D80" i="22"/>
  <c r="H80" i="22"/>
  <c r="M80" i="22"/>
  <c r="F80" i="22"/>
  <c r="J80" i="22"/>
  <c r="O84" i="22"/>
  <c r="I84" i="22"/>
  <c r="M84" i="22"/>
  <c r="J84" i="22"/>
  <c r="L84" i="22"/>
  <c r="H84" i="22"/>
  <c r="E84" i="22"/>
  <c r="F84" i="22"/>
  <c r="G84" i="22"/>
  <c r="K84" i="22"/>
  <c r="N84" i="22"/>
  <c r="G80" i="22"/>
  <c r="D84" i="22"/>
  <c r="F81" i="21"/>
  <c r="N81" i="21"/>
  <c r="O81" i="21"/>
  <c r="K81" i="21"/>
  <c r="H81" i="21"/>
  <c r="D81" i="21"/>
  <c r="G81" i="21"/>
  <c r="I81" i="21"/>
  <c r="I80" i="21"/>
  <c r="L81" i="21"/>
  <c r="J81" i="21"/>
  <c r="E81" i="21"/>
  <c r="S81" i="20"/>
  <c r="M82" i="20"/>
  <c r="L80" i="20"/>
  <c r="J80" i="20"/>
  <c r="I80" i="20"/>
  <c r="E80" i="20"/>
  <c r="F82" i="20"/>
  <c r="K82" i="20"/>
  <c r="H82" i="20"/>
  <c r="K80" i="20"/>
  <c r="O80" i="20"/>
  <c r="M80" i="20"/>
  <c r="D80" i="20"/>
  <c r="N80" i="20"/>
  <c r="H80" i="20"/>
  <c r="L82" i="20"/>
  <c r="D82" i="20"/>
  <c r="E82" i="20"/>
  <c r="G82" i="20"/>
  <c r="N82" i="20"/>
  <c r="O82" i="20"/>
  <c r="J82" i="20"/>
  <c r="S71" i="22"/>
  <c r="S85" i="19"/>
  <c r="S79" i="20"/>
  <c r="S85" i="22"/>
  <c r="S85" i="21"/>
  <c r="R9" i="25"/>
  <c r="S85" i="20"/>
  <c r="S82" i="22"/>
  <c r="S79" i="21"/>
  <c r="S82" i="21"/>
  <c r="S79" i="19"/>
  <c r="D144" i="22"/>
  <c r="S128" i="22"/>
  <c r="G155" i="18"/>
  <c r="I155" i="18"/>
  <c r="O155" i="18"/>
  <c r="F84" i="32"/>
  <c r="F87" i="32"/>
  <c r="F155" i="18"/>
  <c r="L155" i="18"/>
  <c r="S154" i="18"/>
  <c r="D155" i="18"/>
  <c r="J86" i="32"/>
  <c r="J89" i="32"/>
  <c r="F60" i="32"/>
  <c r="G86" i="32"/>
  <c r="G89" i="32"/>
  <c r="F58" i="32"/>
  <c r="H86" i="32"/>
  <c r="H89" i="32"/>
  <c r="I86" i="32"/>
  <c r="I89" i="32"/>
  <c r="M155" i="18"/>
  <c r="J155" i="18"/>
  <c r="K155" i="18"/>
  <c r="H155" i="18"/>
  <c r="N155" i="18"/>
  <c r="G77" i="32"/>
  <c r="E155" i="18"/>
  <c r="D112" i="9"/>
  <c r="D21" i="16"/>
  <c r="F79" i="22"/>
  <c r="O79" i="22"/>
  <c r="E79" i="22"/>
  <c r="J79" i="22"/>
  <c r="G79" i="22"/>
  <c r="M79" i="22"/>
  <c r="I79" i="22"/>
  <c r="D79" i="22"/>
  <c r="D144" i="18"/>
  <c r="S130" i="18"/>
  <c r="F38" i="25"/>
  <c r="L144" i="18"/>
  <c r="N38" i="25"/>
  <c r="K38" i="25"/>
  <c r="I144" i="18"/>
  <c r="F144" i="18"/>
  <c r="H38" i="25"/>
  <c r="G144" i="18"/>
  <c r="I38" i="25"/>
  <c r="O144" i="18"/>
  <c r="Q38" i="25"/>
  <c r="L38" i="25"/>
  <c r="J144" i="18"/>
  <c r="P38" i="25"/>
  <c r="N144" i="18"/>
  <c r="E144" i="18"/>
  <c r="G38" i="25"/>
  <c r="F129" i="20"/>
  <c r="S129" i="20"/>
  <c r="F85" i="9"/>
  <c r="G47" i="8"/>
  <c r="F63" i="8"/>
  <c r="F76" i="8"/>
  <c r="M144" i="18"/>
  <c r="O38" i="25"/>
  <c r="K144" i="18"/>
  <c r="M38" i="25"/>
  <c r="J38" i="25"/>
  <c r="H144" i="18"/>
  <c r="G130" i="19"/>
  <c r="F130" i="19"/>
  <c r="I130" i="19"/>
  <c r="N130" i="19"/>
  <c r="J130" i="19"/>
  <c r="E130" i="19"/>
  <c r="L130" i="19"/>
  <c r="M130" i="19"/>
  <c r="O130" i="19"/>
  <c r="K130" i="19"/>
  <c r="D130" i="19"/>
  <c r="H130" i="19"/>
  <c r="E99" i="9"/>
  <c r="N79" i="22"/>
  <c r="K79" i="22"/>
  <c r="S84" i="20"/>
  <c r="S15" i="22"/>
  <c r="S84" i="21"/>
  <c r="D156" i="19"/>
  <c r="D165" i="19"/>
  <c r="S81" i="22"/>
  <c r="S80" i="22"/>
  <c r="S84" i="22"/>
  <c r="K80" i="21"/>
  <c r="N80" i="21"/>
  <c r="L80" i="21"/>
  <c r="F80" i="21"/>
  <c r="S81" i="21"/>
  <c r="H80" i="21"/>
  <c r="G80" i="21"/>
  <c r="E80" i="21"/>
  <c r="O80" i="21"/>
  <c r="M80" i="21"/>
  <c r="D80" i="21"/>
  <c r="J80" i="21"/>
  <c r="S80" i="20"/>
  <c r="S82" i="20"/>
  <c r="F89" i="32"/>
  <c r="F96" i="32"/>
  <c r="S130" i="19"/>
  <c r="F19" i="16"/>
  <c r="E112" i="9"/>
  <c r="G85" i="9"/>
  <c r="H47" i="8"/>
  <c r="G63" i="8"/>
  <c r="G76" i="8"/>
  <c r="R38" i="25"/>
  <c r="G130" i="20"/>
  <c r="L130" i="20"/>
  <c r="H130" i="20"/>
  <c r="D130" i="20"/>
  <c r="N130" i="20"/>
  <c r="O130" i="20"/>
  <c r="M130" i="20"/>
  <c r="I130" i="20"/>
  <c r="J130" i="20"/>
  <c r="K130" i="20"/>
  <c r="F130" i="20"/>
  <c r="E130" i="20"/>
  <c r="F99" i="9"/>
  <c r="S79" i="22"/>
  <c r="S80" i="21"/>
  <c r="F91" i="32"/>
  <c r="F92" i="32"/>
  <c r="D96" i="32"/>
  <c r="F98" i="32"/>
  <c r="F112" i="9"/>
  <c r="H19" i="16"/>
  <c r="H85" i="9"/>
  <c r="H63" i="8"/>
  <c r="H76" i="8"/>
  <c r="S130" i="20"/>
  <c r="L130" i="21"/>
  <c r="G130" i="21"/>
  <c r="J130" i="21"/>
  <c r="G99" i="9"/>
  <c r="M130" i="21"/>
  <c r="D130" i="21"/>
  <c r="H130" i="21"/>
  <c r="H144" i="21"/>
  <c r="H156" i="21"/>
  <c r="H165" i="21"/>
  <c r="H167" i="21"/>
  <c r="K130" i="21"/>
  <c r="K144" i="21"/>
  <c r="K156" i="21"/>
  <c r="K165" i="21"/>
  <c r="K167" i="21"/>
  <c r="O130" i="21"/>
  <c r="F130" i="21"/>
  <c r="N130" i="21"/>
  <c r="I130" i="21"/>
  <c r="E130" i="21"/>
  <c r="E144" i="21"/>
  <c r="E156" i="21"/>
  <c r="E165" i="21"/>
  <c r="E167" i="21"/>
  <c r="S130" i="21"/>
  <c r="G112" i="9"/>
  <c r="J19" i="16"/>
  <c r="I130" i="22"/>
  <c r="H130" i="22"/>
  <c r="O130" i="22"/>
  <c r="E130" i="22"/>
  <c r="N130" i="22"/>
  <c r="G130" i="22"/>
  <c r="J130" i="22"/>
  <c r="L130" i="22"/>
  <c r="D130" i="22"/>
  <c r="K130" i="22"/>
  <c r="F130" i="22"/>
  <c r="M130" i="22"/>
  <c r="H99" i="9"/>
  <c r="H112" i="9"/>
  <c r="L19" i="16"/>
  <c r="S130" i="22"/>
  <c r="L156" i="21"/>
  <c r="L165" i="21"/>
  <c r="L167" i="21"/>
  <c r="J156" i="22"/>
  <c r="J165" i="22"/>
  <c r="J167" i="22"/>
  <c r="F156" i="21"/>
  <c r="F165" i="21"/>
  <c r="F167" i="21"/>
  <c r="J156" i="21"/>
  <c r="J165" i="21"/>
  <c r="J167" i="21"/>
  <c r="M156" i="22"/>
  <c r="M165" i="22"/>
  <c r="M167" i="22"/>
  <c r="O156" i="21"/>
  <c r="O165" i="21"/>
  <c r="O167" i="21"/>
  <c r="O156" i="22"/>
  <c r="O165" i="22"/>
  <c r="O167" i="22"/>
  <c r="N156" i="22"/>
  <c r="N165" i="22"/>
  <c r="N167" i="22"/>
  <c r="K156" i="22"/>
  <c r="K165" i="22"/>
  <c r="K167" i="22"/>
  <c r="N156" i="21"/>
  <c r="N165" i="21"/>
  <c r="N167" i="21"/>
  <c r="G156" i="21"/>
  <c r="G165" i="21"/>
  <c r="G167" i="21"/>
  <c r="M156" i="21"/>
  <c r="M165" i="21"/>
  <c r="M167" i="21"/>
  <c r="G156" i="22"/>
  <c r="G165" i="22"/>
  <c r="G167" i="22"/>
  <c r="N156" i="20"/>
  <c r="N165" i="20"/>
  <c r="N167" i="20"/>
  <c r="K156" i="20"/>
  <c r="K165" i="20"/>
  <c r="K167" i="20"/>
  <c r="H156" i="22"/>
  <c r="H165" i="22"/>
  <c r="H167" i="22"/>
  <c r="F156" i="20"/>
  <c r="F165" i="20"/>
  <c r="F167" i="20"/>
  <c r="I156" i="22"/>
  <c r="I165" i="22"/>
  <c r="I167" i="22"/>
  <c r="D156" i="21"/>
  <c r="D165" i="21"/>
  <c r="H156" i="20"/>
  <c r="H165" i="20"/>
  <c r="H167" i="20"/>
  <c r="E156" i="22"/>
  <c r="E165" i="22"/>
  <c r="E167" i="22"/>
  <c r="L156" i="22"/>
  <c r="L165" i="22"/>
  <c r="L167" i="22"/>
  <c r="E156" i="20"/>
  <c r="E165" i="20"/>
  <c r="E167" i="20"/>
  <c r="O156" i="20"/>
  <c r="O165" i="20"/>
  <c r="O167" i="20"/>
  <c r="L156" i="20"/>
  <c r="L165" i="20"/>
  <c r="L167" i="20"/>
  <c r="I156" i="21"/>
  <c r="I165" i="21"/>
  <c r="I167" i="21"/>
  <c r="F156" i="22"/>
  <c r="F165" i="22"/>
  <c r="F167" i="22"/>
  <c r="M156" i="20"/>
  <c r="M165" i="20"/>
  <c r="M167" i="20"/>
  <c r="G156" i="20"/>
  <c r="G165" i="20"/>
  <c r="G167" i="20"/>
  <c r="D156" i="20"/>
  <c r="D165" i="20"/>
  <c r="J156" i="20"/>
  <c r="J165" i="20"/>
  <c r="J167" i="20"/>
  <c r="I156" i="20"/>
  <c r="I165" i="20"/>
  <c r="I167" i="20"/>
  <c r="K156" i="19"/>
  <c r="K165" i="19"/>
  <c r="K167" i="19"/>
  <c r="H156" i="19"/>
  <c r="H165" i="19"/>
  <c r="H167" i="19"/>
  <c r="M156" i="19"/>
  <c r="M165" i="19"/>
  <c r="M167" i="19"/>
  <c r="G156" i="19"/>
  <c r="G165" i="19"/>
  <c r="G167" i="19"/>
  <c r="N156" i="19"/>
  <c r="N165" i="19"/>
  <c r="N167" i="19"/>
  <c r="E156" i="19"/>
  <c r="E165" i="19"/>
  <c r="E167" i="19"/>
  <c r="L156" i="19"/>
  <c r="L165" i="19"/>
  <c r="L167" i="19"/>
  <c r="J156" i="19"/>
  <c r="J165" i="19"/>
  <c r="J167" i="19"/>
  <c r="F156" i="19"/>
  <c r="F165" i="19"/>
  <c r="F167" i="19"/>
  <c r="I156" i="19"/>
  <c r="I165" i="19"/>
  <c r="I167" i="19"/>
  <c r="D156" i="22"/>
  <c r="D165" i="22"/>
  <c r="O156" i="19"/>
  <c r="O165" i="19"/>
  <c r="O167" i="19"/>
  <c r="R101" i="1"/>
  <c r="R99" i="1"/>
  <c r="I83" i="18"/>
  <c r="W7" i="1"/>
  <c r="X7" i="1"/>
  <c r="W7" i="10"/>
  <c r="R7" i="11"/>
  <c r="R101" i="11"/>
  <c r="X99" i="1"/>
  <c r="X101" i="1"/>
  <c r="I88" i="18"/>
  <c r="I156" i="18"/>
  <c r="I165" i="18"/>
  <c r="I167" i="18"/>
  <c r="K12" i="25"/>
  <c r="J83" i="18"/>
  <c r="X7" i="10"/>
  <c r="W101" i="10"/>
  <c r="R99" i="10"/>
  <c r="E37" i="9"/>
  <c r="M83" i="18"/>
  <c r="O83" i="18"/>
  <c r="E83" i="18"/>
  <c r="H83" i="18"/>
  <c r="K83" i="18"/>
  <c r="L83" i="18"/>
  <c r="D83" i="18"/>
  <c r="R99" i="11"/>
  <c r="F37" i="9"/>
  <c r="G83" i="18"/>
  <c r="N83" i="18"/>
  <c r="W7" i="11"/>
  <c r="F83" i="18"/>
  <c r="R101" i="10"/>
  <c r="D42" i="9"/>
  <c r="W99" i="10"/>
  <c r="W99" i="1"/>
  <c r="W101" i="1"/>
  <c r="R7" i="12"/>
  <c r="N83" i="20"/>
  <c r="N88" i="20"/>
  <c r="E83" i="20"/>
  <c r="E88" i="20"/>
  <c r="F83" i="20"/>
  <c r="F88" i="20"/>
  <c r="K83" i="20"/>
  <c r="K88" i="20"/>
  <c r="D83" i="20"/>
  <c r="J83" i="20"/>
  <c r="J88" i="20"/>
  <c r="I83" i="20"/>
  <c r="I88" i="20"/>
  <c r="F42" i="9"/>
  <c r="L83" i="20"/>
  <c r="L88" i="20"/>
  <c r="M83" i="20"/>
  <c r="M88" i="20"/>
  <c r="H83" i="20"/>
  <c r="H88" i="20"/>
  <c r="O83" i="20"/>
  <c r="O88" i="20"/>
  <c r="G83" i="20"/>
  <c r="G88" i="20"/>
  <c r="L83" i="19"/>
  <c r="L88" i="19"/>
  <c r="M83" i="19"/>
  <c r="M88" i="19"/>
  <c r="D83" i="19"/>
  <c r="G83" i="19"/>
  <c r="G88" i="19"/>
  <c r="J83" i="19"/>
  <c r="J88" i="19"/>
  <c r="H83" i="19"/>
  <c r="H88" i="19"/>
  <c r="I83" i="19"/>
  <c r="I88" i="19"/>
  <c r="E83" i="19"/>
  <c r="E88" i="19"/>
  <c r="O83" i="19"/>
  <c r="O88" i="19"/>
  <c r="N83" i="19"/>
  <c r="N88" i="19"/>
  <c r="F83" i="19"/>
  <c r="F88" i="19"/>
  <c r="K83" i="19"/>
  <c r="K88" i="19"/>
  <c r="E42" i="9"/>
  <c r="W99" i="11"/>
  <c r="W101" i="11"/>
  <c r="X7" i="11"/>
  <c r="D44" i="9"/>
  <c r="D115" i="9"/>
  <c r="D16" i="16"/>
  <c r="P12" i="25"/>
  <c r="N88" i="18"/>
  <c r="N156" i="18"/>
  <c r="N165" i="18"/>
  <c r="N167" i="18"/>
  <c r="S83" i="18"/>
  <c r="F12" i="25"/>
  <c r="D88" i="18"/>
  <c r="D156" i="18"/>
  <c r="D165" i="18"/>
  <c r="D167" i="18"/>
  <c r="D169" i="18"/>
  <c r="G12" i="25"/>
  <c r="E88" i="18"/>
  <c r="E156" i="18"/>
  <c r="E165" i="18"/>
  <c r="E167" i="18"/>
  <c r="I12" i="25"/>
  <c r="G88" i="18"/>
  <c r="G156" i="18"/>
  <c r="G165" i="18"/>
  <c r="G167" i="18"/>
  <c r="J12" i="25"/>
  <c r="H88" i="18"/>
  <c r="H156" i="18"/>
  <c r="H165" i="18"/>
  <c r="H167" i="18"/>
  <c r="L88" i="18"/>
  <c r="L156" i="18"/>
  <c r="L165" i="18"/>
  <c r="L167" i="18"/>
  <c r="N12" i="25"/>
  <c r="O88" i="18"/>
  <c r="O156" i="18"/>
  <c r="O165" i="18"/>
  <c r="O167" i="18"/>
  <c r="Q12" i="25"/>
  <c r="X99" i="10"/>
  <c r="X101" i="10"/>
  <c r="F88" i="18"/>
  <c r="F156" i="18"/>
  <c r="F165" i="18"/>
  <c r="F167" i="18"/>
  <c r="H12" i="25"/>
  <c r="W7" i="12"/>
  <c r="R101" i="12"/>
  <c r="R99" i="12"/>
  <c r="G37" i="9"/>
  <c r="R7" i="13"/>
  <c r="M12" i="25"/>
  <c r="K88" i="18"/>
  <c r="K156" i="18"/>
  <c r="K165" i="18"/>
  <c r="K167" i="18"/>
  <c r="O12" i="25"/>
  <c r="M88" i="18"/>
  <c r="M156" i="18"/>
  <c r="M165" i="18"/>
  <c r="M167" i="18"/>
  <c r="L12" i="25"/>
  <c r="J88" i="18"/>
  <c r="J156" i="18"/>
  <c r="J165" i="18"/>
  <c r="J167" i="18"/>
  <c r="D11" i="23"/>
  <c r="E169" i="18"/>
  <c r="D88" i="19"/>
  <c r="S83" i="19"/>
  <c r="F44" i="9"/>
  <c r="F115" i="9"/>
  <c r="H16" i="16"/>
  <c r="D17" i="16"/>
  <c r="D22" i="16"/>
  <c r="X7" i="12"/>
  <c r="W99" i="12"/>
  <c r="W101" i="12"/>
  <c r="R12" i="25"/>
  <c r="R52" i="25"/>
  <c r="R101" i="13"/>
  <c r="W7" i="13"/>
  <c r="R99" i="13"/>
  <c r="H37" i="9"/>
  <c r="E44" i="9"/>
  <c r="E115" i="9"/>
  <c r="F16" i="16"/>
  <c r="I83" i="21"/>
  <c r="I88" i="21"/>
  <c r="O83" i="21"/>
  <c r="O88" i="21"/>
  <c r="L83" i="21"/>
  <c r="L88" i="21"/>
  <c r="J83" i="21"/>
  <c r="J88" i="21"/>
  <c r="F83" i="21"/>
  <c r="F88" i="21"/>
  <c r="M83" i="21"/>
  <c r="M88" i="21"/>
  <c r="D83" i="21"/>
  <c r="G42" i="9"/>
  <c r="G83" i="21"/>
  <c r="G88" i="21"/>
  <c r="H83" i="21"/>
  <c r="H88" i="21"/>
  <c r="K83" i="21"/>
  <c r="K88" i="21"/>
  <c r="E83" i="21"/>
  <c r="E88" i="21"/>
  <c r="N83" i="21"/>
  <c r="N88" i="21"/>
  <c r="X101" i="11"/>
  <c r="X99" i="11"/>
  <c r="D88" i="20"/>
  <c r="S83" i="20"/>
  <c r="W101" i="13"/>
  <c r="X7" i="13"/>
  <c r="W99" i="13"/>
  <c r="G44" i="9"/>
  <c r="G115" i="9"/>
  <c r="J16" i="16"/>
  <c r="D88" i="21"/>
  <c r="S83" i="21"/>
  <c r="E14" i="16"/>
  <c r="E18" i="16"/>
  <c r="E19" i="16"/>
  <c r="E20" i="16"/>
  <c r="E15" i="16"/>
  <c r="D24" i="16"/>
  <c r="K83" i="22"/>
  <c r="K88" i="22"/>
  <c r="J83" i="22"/>
  <c r="J88" i="22"/>
  <c r="H42" i="9"/>
  <c r="H83" i="22"/>
  <c r="H88" i="22"/>
  <c r="E83" i="22"/>
  <c r="E88" i="22"/>
  <c r="F83" i="22"/>
  <c r="F88" i="22"/>
  <c r="G83" i="22"/>
  <c r="G88" i="22"/>
  <c r="I83" i="22"/>
  <c r="I88" i="22"/>
  <c r="N83" i="22"/>
  <c r="N88" i="22"/>
  <c r="M83" i="22"/>
  <c r="M88" i="22"/>
  <c r="L83" i="22"/>
  <c r="L88" i="22"/>
  <c r="D83" i="22"/>
  <c r="O83" i="22"/>
  <c r="O88" i="22"/>
  <c r="E16" i="16"/>
  <c r="H17" i="16"/>
  <c r="H22" i="16"/>
  <c r="I16" i="16"/>
  <c r="E11" i="23"/>
  <c r="F169" i="18"/>
  <c r="F17" i="16"/>
  <c r="F22" i="16"/>
  <c r="G16" i="16"/>
  <c r="X99" i="12"/>
  <c r="X101" i="12"/>
  <c r="D88" i="22"/>
  <c r="S83" i="22"/>
  <c r="D25" i="16"/>
  <c r="D32" i="16"/>
  <c r="I15" i="16"/>
  <c r="I20" i="16"/>
  <c r="H24" i="16"/>
  <c r="H25" i="16"/>
  <c r="I19" i="16"/>
  <c r="I14" i="16"/>
  <c r="I18" i="16"/>
  <c r="H44" i="9"/>
  <c r="H115" i="9"/>
  <c r="L16" i="16"/>
  <c r="E17" i="16"/>
  <c r="G20" i="16"/>
  <c r="G18" i="16"/>
  <c r="G15" i="16"/>
  <c r="G19" i="16"/>
  <c r="F24" i="16"/>
  <c r="F25" i="16"/>
  <c r="G14" i="16"/>
  <c r="F11" i="23"/>
  <c r="G169" i="18"/>
  <c r="X99" i="13"/>
  <c r="X101" i="13"/>
  <c r="J17" i="16"/>
  <c r="J22" i="16"/>
  <c r="I17" i="16"/>
  <c r="L17" i="16"/>
  <c r="L22" i="16"/>
  <c r="D33" i="16"/>
  <c r="F27" i="16"/>
  <c r="F32" i="16"/>
  <c r="G17" i="16"/>
  <c r="K20" i="16"/>
  <c r="J24" i="16"/>
  <c r="J25" i="16"/>
  <c r="K15" i="16"/>
  <c r="K19" i="16"/>
  <c r="K14" i="16"/>
  <c r="K18" i="16"/>
  <c r="K16" i="16"/>
  <c r="G11" i="23"/>
  <c r="H169" i="18"/>
  <c r="F33" i="16"/>
  <c r="H27" i="16"/>
  <c r="H32" i="16"/>
  <c r="H11" i="23"/>
  <c r="I169" i="18"/>
  <c r="M20" i="16"/>
  <c r="M15" i="16"/>
  <c r="M18" i="16"/>
  <c r="M19" i="16"/>
  <c r="M14" i="16"/>
  <c r="L24" i="16"/>
  <c r="L25" i="16"/>
  <c r="K17" i="16"/>
  <c r="M16" i="16"/>
  <c r="M17" i="16"/>
  <c r="I11" i="23"/>
  <c r="J169" i="18"/>
  <c r="H33" i="16"/>
  <c r="J27" i="16"/>
  <c r="J32" i="16"/>
  <c r="L27" i="16"/>
  <c r="L32" i="16"/>
  <c r="L33" i="16"/>
  <c r="J33" i="16"/>
  <c r="J11" i="23"/>
  <c r="K169" i="18"/>
  <c r="K11" i="23"/>
  <c r="L169" i="18"/>
  <c r="L11" i="23"/>
  <c r="M169" i="18"/>
  <c r="M11" i="23"/>
  <c r="N169" i="18"/>
  <c r="N11" i="23"/>
  <c r="O169" i="18"/>
  <c r="O11" i="23"/>
  <c r="D159" i="19"/>
  <c r="D163" i="19"/>
  <c r="D167" i="19"/>
  <c r="D169" i="19"/>
  <c r="D18" i="23"/>
  <c r="E169" i="19"/>
  <c r="E18" i="23"/>
  <c r="F169" i="19"/>
  <c r="F18" i="23"/>
  <c r="G169" i="19"/>
  <c r="G18" i="23"/>
  <c r="H169" i="19"/>
  <c r="H18" i="23"/>
  <c r="I169" i="19"/>
  <c r="I18" i="23"/>
  <c r="J169" i="19"/>
  <c r="J18" i="23"/>
  <c r="K169" i="19"/>
  <c r="K18" i="23"/>
  <c r="L169" i="19"/>
  <c r="L18" i="23"/>
  <c r="M169" i="19"/>
  <c r="M18" i="23"/>
  <c r="N169" i="19"/>
  <c r="N18" i="23"/>
  <c r="O169" i="19"/>
  <c r="O18" i="23"/>
  <c r="D159" i="20"/>
  <c r="D163" i="20"/>
  <c r="D167" i="20"/>
  <c r="D169" i="20"/>
  <c r="D25" i="23"/>
  <c r="E169" i="20"/>
  <c r="E25" i="23"/>
  <c r="F169" i="20"/>
  <c r="F25" i="23"/>
  <c r="G169" i="20"/>
  <c r="G25" i="23"/>
  <c r="H169" i="20"/>
  <c r="H25" i="23"/>
  <c r="I169" i="20"/>
  <c r="I25" i="23"/>
  <c r="J169" i="20"/>
  <c r="J25" i="23"/>
  <c r="K169" i="20"/>
  <c r="K25" i="23"/>
  <c r="L169" i="20"/>
  <c r="L25" i="23"/>
  <c r="M169" i="20"/>
  <c r="M25" i="23"/>
  <c r="N169" i="20"/>
  <c r="N25" i="23"/>
  <c r="O169" i="20"/>
  <c r="O25" i="23"/>
  <c r="D159" i="21"/>
  <c r="D163" i="21"/>
  <c r="D167" i="21"/>
  <c r="D169" i="21"/>
  <c r="E169" i="21"/>
  <c r="D32" i="23"/>
  <c r="E32" i="23"/>
  <c r="F169" i="21"/>
  <c r="G169" i="21"/>
  <c r="F32" i="23"/>
  <c r="G32" i="23"/>
  <c r="H169" i="21"/>
  <c r="I169" i="21"/>
  <c r="H32" i="23"/>
  <c r="I32" i="23"/>
  <c r="J169" i="21"/>
  <c r="J32" i="23"/>
  <c r="K169" i="21"/>
  <c r="K32" i="23"/>
  <c r="L169" i="21"/>
  <c r="L32" i="23"/>
  <c r="M169" i="21"/>
  <c r="M32" i="23"/>
  <c r="N169" i="21"/>
  <c r="O169" i="21"/>
  <c r="N32" i="23"/>
  <c r="O32" i="23"/>
  <c r="D159" i="22"/>
  <c r="D163" i="22"/>
  <c r="D167" i="22"/>
  <c r="D169" i="22"/>
  <c r="D39" i="23"/>
  <c r="D46" i="23"/>
  <c r="E169" i="22"/>
  <c r="E39" i="23"/>
  <c r="E46" i="23"/>
  <c r="F169" i="22"/>
  <c r="G169" i="22"/>
  <c r="F39" i="23"/>
  <c r="F46" i="23"/>
  <c r="G39" i="23"/>
  <c r="G46" i="23"/>
  <c r="H169" i="22"/>
  <c r="H39" i="23"/>
  <c r="H46" i="23"/>
  <c r="I169" i="22"/>
  <c r="J169" i="22"/>
  <c r="I39" i="23"/>
  <c r="I46" i="23"/>
  <c r="J39" i="23"/>
  <c r="J46" i="23"/>
  <c r="K169" i="22"/>
  <c r="K39" i="23"/>
  <c r="K46" i="23"/>
  <c r="L169" i="22"/>
  <c r="L39" i="23"/>
  <c r="L46" i="23"/>
  <c r="M169" i="22"/>
  <c r="N169" i="22"/>
  <c r="M39" i="23"/>
  <c r="M46" i="23"/>
  <c r="O169" i="22"/>
  <c r="O39" i="23"/>
  <c r="O46" i="23"/>
  <c r="N39" i="23"/>
  <c r="N46" i="23"/>
</calcChain>
</file>

<file path=xl/comments1.xml><?xml version="1.0" encoding="utf-8"?>
<comments xmlns="http://schemas.openxmlformats.org/spreadsheetml/2006/main">
  <authors>
    <author>Miles</author>
  </authors>
  <commentList>
    <comment ref="B6" authorId="0">
      <text>
        <r>
          <rPr>
            <b/>
            <sz val="9"/>
            <color indexed="81"/>
            <rFont val="Tahoma"/>
            <family val="2"/>
          </rPr>
          <t>Miles:</t>
        </r>
        <r>
          <rPr>
            <sz val="9"/>
            <color indexed="81"/>
            <rFont val="Tahoma"/>
            <family val="2"/>
          </rPr>
          <t xml:space="preserve">
This tab's formulas (columns D thru I) key off of the SACS codes in this column.  So make sure these SACS codes agree with the ones used in the Employee Input tab(s)</t>
        </r>
      </text>
    </comment>
  </commentList>
</comments>
</file>

<file path=xl/comments10.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1.xml><?xml version="1.0" encoding="utf-8"?>
<comments xmlns="http://schemas.openxmlformats.org/spreadsheetml/2006/main">
  <authors>
    <author>Miles</author>
  </authors>
  <commentList>
    <comment ref="A7" authorId="0">
      <text>
        <r>
          <rPr>
            <b/>
            <sz val="9"/>
            <color indexed="81"/>
            <rFont val="Tahoma"/>
            <family val="2"/>
          </rPr>
          <t>Miles:</t>
        </r>
        <r>
          <rPr>
            <sz val="9"/>
            <color indexed="81"/>
            <rFont val="Tahoma"/>
            <family val="2"/>
          </rPr>
          <t xml:space="preserve">
Do not erase this row, though please feel free to modify its content</t>
        </r>
      </text>
    </comment>
    <comment ref="A98" authorId="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12.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text>
        <r>
          <rPr>
            <b/>
            <sz val="9"/>
            <color indexed="81"/>
            <rFont val="Tahoma"/>
            <family val="2"/>
          </rPr>
          <t>Miles:</t>
        </r>
        <r>
          <rPr>
            <sz val="9"/>
            <color indexed="81"/>
            <rFont val="Tahoma"/>
            <family val="2"/>
          </rPr>
          <t xml:space="preserve">
Ensure no double counting with Revenue line 8019, Prior Year Income</t>
        </r>
      </text>
    </comment>
    <comment ref="C161" authorId="0">
      <text>
        <r>
          <rPr>
            <b/>
            <sz val="9"/>
            <color indexed="81"/>
            <rFont val="Tahoma"/>
            <family val="2"/>
          </rPr>
          <t>Miles:</t>
        </r>
        <r>
          <rPr>
            <sz val="9"/>
            <color indexed="81"/>
            <rFont val="Tahoma"/>
            <family val="2"/>
          </rPr>
          <t xml:space="preserve">
Interest is covered via Expense line 7438</t>
        </r>
      </text>
    </comment>
  </commentList>
</comments>
</file>

<file path=xl/comments13.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4.xml><?xml version="1.0" encoding="utf-8"?>
<comments xmlns="http://schemas.openxmlformats.org/spreadsheetml/2006/main">
  <authors>
    <author>Miles</author>
  </authors>
  <commentList>
    <comment ref="A7" authorId="0">
      <text>
        <r>
          <rPr>
            <b/>
            <sz val="9"/>
            <color indexed="81"/>
            <rFont val="Tahoma"/>
            <family val="2"/>
          </rPr>
          <t>Miles:</t>
        </r>
        <r>
          <rPr>
            <sz val="9"/>
            <color indexed="81"/>
            <rFont val="Tahoma"/>
            <family val="2"/>
          </rPr>
          <t xml:space="preserve">
Do not erase this row, though please feel free to modify its content</t>
        </r>
      </text>
    </comment>
    <comment ref="A98" authorId="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15.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text>
        <r>
          <rPr>
            <b/>
            <sz val="9"/>
            <color indexed="81"/>
            <rFont val="Tahoma"/>
            <family val="2"/>
          </rPr>
          <t>Miles:</t>
        </r>
        <r>
          <rPr>
            <sz val="9"/>
            <color indexed="81"/>
            <rFont val="Tahoma"/>
            <family val="2"/>
          </rPr>
          <t xml:space="preserve">
Ensure no double counting with Revenue line 8019, Prior Year Income</t>
        </r>
      </text>
    </comment>
    <comment ref="C161" authorId="0">
      <text>
        <r>
          <rPr>
            <b/>
            <sz val="9"/>
            <color indexed="81"/>
            <rFont val="Tahoma"/>
            <family val="2"/>
          </rPr>
          <t>Miles:</t>
        </r>
        <r>
          <rPr>
            <sz val="9"/>
            <color indexed="81"/>
            <rFont val="Tahoma"/>
            <family val="2"/>
          </rPr>
          <t xml:space="preserve">
Interest is covered via Expense line 7438</t>
        </r>
      </text>
    </comment>
  </commentList>
</comments>
</file>

<file path=xl/comments16.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17.xml><?xml version="1.0" encoding="utf-8"?>
<comments xmlns="http://schemas.openxmlformats.org/spreadsheetml/2006/main">
  <authors>
    <author>Miles</author>
  </authors>
  <commentList>
    <comment ref="A7" authorId="0">
      <text>
        <r>
          <rPr>
            <b/>
            <sz val="9"/>
            <color indexed="81"/>
            <rFont val="Tahoma"/>
            <family val="2"/>
          </rPr>
          <t>Miles:</t>
        </r>
        <r>
          <rPr>
            <sz val="9"/>
            <color indexed="81"/>
            <rFont val="Tahoma"/>
            <family val="2"/>
          </rPr>
          <t xml:space="preserve">
Do not erase this row, though please feel free to modify its content</t>
        </r>
      </text>
    </comment>
    <comment ref="A98" authorId="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18.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text>
        <r>
          <rPr>
            <b/>
            <sz val="9"/>
            <color indexed="81"/>
            <rFont val="Tahoma"/>
            <family val="2"/>
          </rPr>
          <t>Miles:</t>
        </r>
        <r>
          <rPr>
            <sz val="9"/>
            <color indexed="81"/>
            <rFont val="Tahoma"/>
            <family val="2"/>
          </rPr>
          <t xml:space="preserve">
Ensure no double counting with Revenue line 8019, Prior Year Income</t>
        </r>
      </text>
    </comment>
    <comment ref="C161" authorId="0">
      <text>
        <r>
          <rPr>
            <b/>
            <sz val="9"/>
            <color indexed="81"/>
            <rFont val="Tahoma"/>
            <family val="2"/>
          </rPr>
          <t>Miles:</t>
        </r>
        <r>
          <rPr>
            <sz val="9"/>
            <color indexed="81"/>
            <rFont val="Tahoma"/>
            <family val="2"/>
          </rPr>
          <t xml:space="preserve">
Interest is covered via Expense line 7438</t>
        </r>
      </text>
    </comment>
  </commentList>
</comments>
</file>

<file path=xl/comments19.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2.xml><?xml version="1.0" encoding="utf-8"?>
<comments xmlns="http://schemas.openxmlformats.org/spreadsheetml/2006/main">
  <authors>
    <author>Scott Warner</author>
    <author>Miles</author>
  </authors>
  <commentList>
    <comment ref="D12" authorId="0">
      <text>
        <r>
          <rPr>
            <b/>
            <sz val="9"/>
            <color indexed="81"/>
            <rFont val="Tahoma"/>
            <family val="2"/>
          </rPr>
          <t>Scott Warner:</t>
        </r>
        <r>
          <rPr>
            <sz val="9"/>
            <color indexed="81"/>
            <rFont val="Tahoma"/>
            <family val="2"/>
          </rPr>
          <t xml:space="preserve">
IDEA
</t>
        </r>
      </text>
    </comment>
    <comment ref="C13" authorId="1">
      <text>
        <r>
          <rPr>
            <b/>
            <sz val="9"/>
            <color indexed="81"/>
            <rFont val="Tahoma"/>
            <family val="2"/>
          </rPr>
          <t>Miles:</t>
        </r>
        <r>
          <rPr>
            <sz val="9"/>
            <color indexed="81"/>
            <rFont val="Tahoma"/>
            <family val="2"/>
          </rPr>
          <t xml:space="preserve">
This formula assumes each site's ADA is the same as last year.  If this is not true, change formula to be based upon last year's P Final ADA.</t>
        </r>
      </text>
    </comment>
  </commentList>
</comments>
</file>

<file path=xl/comments3.xml><?xml version="1.0" encoding="utf-8"?>
<comments xmlns="http://schemas.openxmlformats.org/spreadsheetml/2006/main">
  <authors>
    <author>Scott Warner</author>
  </authors>
  <commentList>
    <comment ref="D41" authorId="0">
      <text>
        <r>
          <rPr>
            <b/>
            <sz val="9"/>
            <color indexed="81"/>
            <rFont val="Tahoma"/>
            <family val="2"/>
          </rPr>
          <t>Scott Warner:</t>
        </r>
        <r>
          <rPr>
            <sz val="9"/>
            <color indexed="81"/>
            <rFont val="Tahoma"/>
            <family val="2"/>
          </rPr>
          <t xml:space="preserve">
CSMC - 42K
Misc - 6K</t>
        </r>
      </text>
    </comment>
    <comment ref="D43" authorId="0">
      <text>
        <r>
          <rPr>
            <b/>
            <sz val="9"/>
            <color indexed="81"/>
            <rFont val="Tahoma"/>
            <family val="2"/>
          </rPr>
          <t>Scott Warner:</t>
        </r>
        <r>
          <rPr>
            <sz val="9"/>
            <color indexed="81"/>
            <rFont val="Tahoma"/>
            <family val="2"/>
          </rPr>
          <t xml:space="preserve">
Audit - $9000
Legal - $7500
</t>
        </r>
      </text>
    </comment>
    <comment ref="D44" authorId="0">
      <text>
        <r>
          <rPr>
            <b/>
            <sz val="9"/>
            <color indexed="81"/>
            <rFont val="Tahoma"/>
            <family val="2"/>
          </rPr>
          <t>Scott Warner:</t>
        </r>
        <r>
          <rPr>
            <sz val="9"/>
            <color indexed="81"/>
            <rFont val="Tahoma"/>
            <family val="2"/>
          </rPr>
          <t xml:space="preserve">
</t>
        </r>
      </text>
    </comment>
  </commentList>
</comments>
</file>

<file path=xl/comments4.xml><?xml version="1.0" encoding="utf-8"?>
<comments xmlns="http://schemas.openxmlformats.org/spreadsheetml/2006/main">
  <authors>
    <author>Miles</author>
  </authors>
  <commentList>
    <comment ref="B6" authorId="0">
      <text>
        <r>
          <rPr>
            <b/>
            <sz val="9"/>
            <color indexed="81"/>
            <rFont val="Tahoma"/>
            <family val="2"/>
          </rPr>
          <t>Miles:</t>
        </r>
        <r>
          <rPr>
            <sz val="9"/>
            <color indexed="81"/>
            <rFont val="Tahoma"/>
            <family val="2"/>
          </rPr>
          <t xml:space="preserve">
This tab's formulas (columns D thru I) key off of the SACS codes in this column.  So make sure these SACS codes agree with the ones used in the Employee Input tab(s)</t>
        </r>
      </text>
    </comment>
  </commentList>
</comments>
</file>

<file path=xl/comments5.xml><?xml version="1.0" encoding="utf-8"?>
<comments xmlns="http://schemas.openxmlformats.org/spreadsheetml/2006/main">
  <authors>
    <author>Miles</author>
  </authors>
  <commentList>
    <comment ref="A7" authorId="0">
      <text>
        <r>
          <rPr>
            <b/>
            <sz val="9"/>
            <color indexed="81"/>
            <rFont val="Tahoma"/>
            <family val="2"/>
          </rPr>
          <t>Miles:</t>
        </r>
        <r>
          <rPr>
            <sz val="9"/>
            <color indexed="81"/>
            <rFont val="Tahoma"/>
            <family val="2"/>
          </rPr>
          <t xml:space="preserve">
Do not erase this row, though please feel free to modify its content</t>
        </r>
      </text>
    </comment>
    <comment ref="A98" authorId="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6.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text>
        <r>
          <rPr>
            <b/>
            <sz val="9"/>
            <color indexed="81"/>
            <rFont val="Tahoma"/>
            <family val="2"/>
          </rPr>
          <t>Miles:</t>
        </r>
        <r>
          <rPr>
            <sz val="9"/>
            <color indexed="81"/>
            <rFont val="Tahoma"/>
            <family val="2"/>
          </rPr>
          <t xml:space="preserve">
Ensure no double counting with Revenue line 8019, Prior Year Income</t>
        </r>
      </text>
    </comment>
    <comment ref="C161" authorId="0">
      <text>
        <r>
          <rPr>
            <b/>
            <sz val="9"/>
            <color indexed="81"/>
            <rFont val="Tahoma"/>
            <family val="2"/>
          </rPr>
          <t>Miles:</t>
        </r>
        <r>
          <rPr>
            <sz val="9"/>
            <color indexed="81"/>
            <rFont val="Tahoma"/>
            <family val="2"/>
          </rPr>
          <t xml:space="preserve">
Interest is covered via Expense line 7438</t>
        </r>
      </text>
    </comment>
  </commentList>
</comments>
</file>

<file path=xl/comments7.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List>
</comments>
</file>

<file path=xl/comments8.xml><?xml version="1.0" encoding="utf-8"?>
<comments xmlns="http://schemas.openxmlformats.org/spreadsheetml/2006/main">
  <authors>
    <author>Miles</author>
  </authors>
  <commentList>
    <comment ref="A7" authorId="0">
      <text>
        <r>
          <rPr>
            <b/>
            <sz val="9"/>
            <color indexed="81"/>
            <rFont val="Tahoma"/>
            <family val="2"/>
          </rPr>
          <t>Miles:</t>
        </r>
        <r>
          <rPr>
            <sz val="9"/>
            <color indexed="81"/>
            <rFont val="Tahoma"/>
            <family val="2"/>
          </rPr>
          <t xml:space="preserve">
Do not erase this row, though please feel free to modify its content</t>
        </r>
      </text>
    </comment>
    <comment ref="A98" authorId="0">
      <text>
        <r>
          <rPr>
            <b/>
            <sz val="9"/>
            <color indexed="81"/>
            <rFont val="Tahoma"/>
            <family val="2"/>
          </rPr>
          <t>Miles:</t>
        </r>
        <r>
          <rPr>
            <sz val="9"/>
            <color indexed="81"/>
            <rFont val="Tahoma"/>
            <family val="2"/>
          </rPr>
          <t xml:space="preserve">
Do not erase this row, though feel free to modify its contents</t>
        </r>
      </text>
    </comment>
  </commentList>
</comments>
</file>

<file path=xl/comments9.xml><?xml version="1.0" encoding="utf-8"?>
<comments xmlns="http://schemas.openxmlformats.org/spreadsheetml/2006/main">
  <authors>
    <author>Miles</author>
  </authors>
  <commentList>
    <comment ref="C9" authorId="0">
      <text>
        <r>
          <rPr>
            <b/>
            <sz val="9"/>
            <color indexed="81"/>
            <rFont val="Tahoma"/>
            <family val="2"/>
          </rPr>
          <t>Miles:</t>
        </r>
        <r>
          <rPr>
            <sz val="9"/>
            <color indexed="81"/>
            <rFont val="Tahoma"/>
            <family val="2"/>
          </rPr>
          <t xml:space="preserve">
This schedule assumes even ADA from last year and during this year.  Also, I've delayed the official schedule by 1 month to account for County/District delays.</t>
        </r>
      </text>
    </comment>
    <comment ref="C10" authorId="0">
      <text>
        <r>
          <rPr>
            <b/>
            <sz val="9"/>
            <color indexed="81"/>
            <rFont val="Tahoma"/>
            <family val="2"/>
          </rPr>
          <t>Miles:</t>
        </r>
        <r>
          <rPr>
            <sz val="9"/>
            <color indexed="81"/>
            <rFont val="Tahoma"/>
            <family val="2"/>
          </rPr>
          <t xml:space="preserve">
This schedule assumes May survey data was accurate and even ADA during this year.  Also, I've delayed the official schedule by 1 month to account for County/District delays.</t>
        </r>
      </text>
    </comment>
    <comment ref="C157" authorId="0">
      <text>
        <r>
          <rPr>
            <b/>
            <sz val="9"/>
            <color indexed="81"/>
            <rFont val="Tahoma"/>
            <family val="2"/>
          </rPr>
          <t>Miles:</t>
        </r>
        <r>
          <rPr>
            <sz val="9"/>
            <color indexed="81"/>
            <rFont val="Tahoma"/>
            <family val="2"/>
          </rPr>
          <t xml:space="preserve">
The intent of this small additional section is to capture the initial cash balance amounts and 'leftover' items from last year</t>
        </r>
      </text>
    </comment>
    <comment ref="C159" authorId="0">
      <text>
        <r>
          <rPr>
            <b/>
            <sz val="9"/>
            <color indexed="81"/>
            <rFont val="Tahoma"/>
            <family val="2"/>
          </rPr>
          <t>Miles:</t>
        </r>
        <r>
          <rPr>
            <sz val="9"/>
            <color indexed="81"/>
            <rFont val="Tahoma"/>
            <family val="2"/>
          </rPr>
          <t xml:space="preserve">
Ensure no double counting with Revenue line 8019, Prior Year Income</t>
        </r>
      </text>
    </comment>
    <comment ref="C161" authorId="0">
      <text>
        <r>
          <rPr>
            <b/>
            <sz val="9"/>
            <color indexed="81"/>
            <rFont val="Tahoma"/>
            <family val="2"/>
          </rPr>
          <t>Miles:</t>
        </r>
        <r>
          <rPr>
            <sz val="9"/>
            <color indexed="81"/>
            <rFont val="Tahoma"/>
            <family val="2"/>
          </rPr>
          <t xml:space="preserve">
Interest is covered via Expense line 7438</t>
        </r>
      </text>
    </comment>
  </commentList>
</comments>
</file>

<file path=xl/sharedStrings.xml><?xml version="1.0" encoding="utf-8"?>
<sst xmlns="http://schemas.openxmlformats.org/spreadsheetml/2006/main" count="2590" uniqueCount="1262">
  <si>
    <t>SACS</t>
  </si>
  <si>
    <t>Full Name</t>
  </si>
  <si>
    <t>Title</t>
  </si>
  <si>
    <t>FTE</t>
  </si>
  <si>
    <t>Department</t>
  </si>
  <si>
    <t>Salary Rate</t>
  </si>
  <si>
    <t>STRS, certificated</t>
  </si>
  <si>
    <t>PERS, classified</t>
  </si>
  <si>
    <t>Clean Value results</t>
  </si>
  <si>
    <t>Data</t>
  </si>
  <si>
    <t>1100</t>
  </si>
  <si>
    <t xml:space="preserve">Certificated Teachers' Salaries                                                 </t>
  </si>
  <si>
    <t>1200</t>
  </si>
  <si>
    <t xml:space="preserve">Certificated Pupil Support Salaries                                             </t>
  </si>
  <si>
    <t>1300</t>
  </si>
  <si>
    <t xml:space="preserve">Certificated Supervisors' and Administrators' Salaries                          </t>
  </si>
  <si>
    <t>1900</t>
  </si>
  <si>
    <t xml:space="preserve">Other Certificated Salaries                                                     </t>
  </si>
  <si>
    <t>2100</t>
  </si>
  <si>
    <t xml:space="preserve">Classified Instructional Salaries                                               </t>
  </si>
  <si>
    <t>2200</t>
  </si>
  <si>
    <t xml:space="preserve">Classified Support Salaries                                                     </t>
  </si>
  <si>
    <t>2300</t>
  </si>
  <si>
    <t xml:space="preserve">Classified Supervisors' and Administrators' Salaries                            </t>
  </si>
  <si>
    <t>2400</t>
  </si>
  <si>
    <t xml:space="preserve">Clerical, Technical, and Office Staff Salaries                                  </t>
  </si>
  <si>
    <t>2900</t>
  </si>
  <si>
    <t xml:space="preserve">Other Classified Salaries                                                       </t>
  </si>
  <si>
    <t>3100</t>
  </si>
  <si>
    <t xml:space="preserve">(Obsolete) State Teachers' Retirement System                                    </t>
  </si>
  <si>
    <t>3101</t>
  </si>
  <si>
    <t xml:space="preserve">State Teachers' Retirement System, certificated positions                       </t>
  </si>
  <si>
    <t>3102</t>
  </si>
  <si>
    <t xml:space="preserve">State Teachers' Retirement System, classified positions                         </t>
  </si>
  <si>
    <t>3200</t>
  </si>
  <si>
    <t xml:space="preserve">(Obsolete) Public Employees' Retirement System                                  </t>
  </si>
  <si>
    <t>3201</t>
  </si>
  <si>
    <t xml:space="preserve">Public Employees' Retirement System, certificated positions                     </t>
  </si>
  <si>
    <t>3202</t>
  </si>
  <si>
    <t xml:space="preserve">Public Employees' Retirement System, classified positions                       </t>
  </si>
  <si>
    <t>3300</t>
  </si>
  <si>
    <t xml:space="preserve">(Obsolete) Social Security/Medicare/Alternative                                 </t>
  </si>
  <si>
    <t>3301</t>
  </si>
  <si>
    <t xml:space="preserve">OASDI/Medicare/Alternative, certificated positions                              </t>
  </si>
  <si>
    <t>3302</t>
  </si>
  <si>
    <t xml:space="preserve">OASDI/Medicare/Alternative, classified positions                                </t>
  </si>
  <si>
    <t>3400</t>
  </si>
  <si>
    <t xml:space="preserve">(Obsolete) Health &amp; Welfare Benefits                                            </t>
  </si>
  <si>
    <t>3401</t>
  </si>
  <si>
    <t xml:space="preserve">Health &amp; Welfare Benefits, certificated positions                               </t>
  </si>
  <si>
    <t>3402</t>
  </si>
  <si>
    <t xml:space="preserve">Health &amp; Welfare Benefits, classified positions                                 </t>
  </si>
  <si>
    <t>3500</t>
  </si>
  <si>
    <t xml:space="preserve">(Obsolete) State Unemployment Insurance                                         </t>
  </si>
  <si>
    <t>3501</t>
  </si>
  <si>
    <t xml:space="preserve">State Unemployment Insurance, certificated positions                            </t>
  </si>
  <si>
    <t>3502</t>
  </si>
  <si>
    <t xml:space="preserve">State Unemployment Insurance, classified positions                              </t>
  </si>
  <si>
    <t>3600</t>
  </si>
  <si>
    <t xml:space="preserve">(Obsolete) Worker's Compensation Insurance                                      </t>
  </si>
  <si>
    <t>3601</t>
  </si>
  <si>
    <t xml:space="preserve">Workers' Compensation Insurance, certificated positions                         </t>
  </si>
  <si>
    <t>3602</t>
  </si>
  <si>
    <t xml:space="preserve">Workers' Compensation Insurance, classified positions                           </t>
  </si>
  <si>
    <t>3700</t>
  </si>
  <si>
    <t xml:space="preserve">(Obsolete) Retiree Benefits                                                     </t>
  </si>
  <si>
    <t>3701</t>
  </si>
  <si>
    <t xml:space="preserve">OPEB, Allocated, certificated positions                                         </t>
  </si>
  <si>
    <t>3702</t>
  </si>
  <si>
    <t xml:space="preserve">OPEB, Allocated, classified positions                                           </t>
  </si>
  <si>
    <t>3751</t>
  </si>
  <si>
    <t xml:space="preserve">OPEB, Active Employees, certificated positions                                  </t>
  </si>
  <si>
    <t>3752</t>
  </si>
  <si>
    <t xml:space="preserve">OPEB, Active Employees, classified positions                                    </t>
  </si>
  <si>
    <t>3800</t>
  </si>
  <si>
    <t xml:space="preserve">(Obsolete) PERS Reduction                                                       </t>
  </si>
  <si>
    <t>3801</t>
  </si>
  <si>
    <t xml:space="preserve">PERS Reduction, certificated positions                                          </t>
  </si>
  <si>
    <t>3802</t>
  </si>
  <si>
    <t xml:space="preserve">PERS Reduction, classified positions                                            </t>
  </si>
  <si>
    <t>3900</t>
  </si>
  <si>
    <t xml:space="preserve">(Obsolete) Other Benefits                                                       </t>
  </si>
  <si>
    <t>3901</t>
  </si>
  <si>
    <t xml:space="preserve">Other Benefits, certificated positions                                          </t>
  </si>
  <si>
    <t>3902</t>
  </si>
  <si>
    <t xml:space="preserve">Other Benefits, classified positions                                            </t>
  </si>
  <si>
    <t>4100</t>
  </si>
  <si>
    <t xml:space="preserve">Approved Textbooks and Core Curricula Materials                                 </t>
  </si>
  <si>
    <t>4200</t>
  </si>
  <si>
    <t xml:space="preserve">Books and Other Reference Materials                                             </t>
  </si>
  <si>
    <t>4300</t>
  </si>
  <si>
    <t xml:space="preserve">Materials and Supplies                                                          </t>
  </si>
  <si>
    <t>4400</t>
  </si>
  <si>
    <t xml:space="preserve">Noncapitalized Equipment                                                        </t>
  </si>
  <si>
    <t>4700</t>
  </si>
  <si>
    <t xml:space="preserve">Food                                                                            </t>
  </si>
  <si>
    <t>5100</t>
  </si>
  <si>
    <t xml:space="preserve">Subagreements for Services                                                      </t>
  </si>
  <si>
    <t>5200</t>
  </si>
  <si>
    <t xml:space="preserve">Travel and Conferences                                                          </t>
  </si>
  <si>
    <t>5300</t>
  </si>
  <si>
    <t xml:space="preserve">Dues and Memberships                                                            </t>
  </si>
  <si>
    <t>5400</t>
  </si>
  <si>
    <t xml:space="preserve">Insurance                                                                       </t>
  </si>
  <si>
    <t>5440</t>
  </si>
  <si>
    <t xml:space="preserve">Pupil Insurance                                                                 </t>
  </si>
  <si>
    <t>5450</t>
  </si>
  <si>
    <t xml:space="preserve">Other Insurance                                                                 </t>
  </si>
  <si>
    <t>5500</t>
  </si>
  <si>
    <t xml:space="preserve">Operations and Housekeeping Services                                            </t>
  </si>
  <si>
    <t>5600</t>
  </si>
  <si>
    <t xml:space="preserve">Rentals, Leases, Repairs, and Noncapitalized Improvements                       </t>
  </si>
  <si>
    <t>5710</t>
  </si>
  <si>
    <t xml:space="preserve">Transfers of Direct Costs                                                       </t>
  </si>
  <si>
    <t>5750</t>
  </si>
  <si>
    <t xml:space="preserve">Transfers of Direct Costs - Interfund                                           </t>
  </si>
  <si>
    <t>5800</t>
  </si>
  <si>
    <t xml:space="preserve">Professional/Consulting Services and Operating Expenditures                     </t>
  </si>
  <si>
    <t>5900</t>
  </si>
  <si>
    <t xml:space="preserve">Communications                                                                  </t>
  </si>
  <si>
    <t>6100</t>
  </si>
  <si>
    <t xml:space="preserve">Land                                                                            </t>
  </si>
  <si>
    <t>6170</t>
  </si>
  <si>
    <t xml:space="preserve">Land Improvements                                                               </t>
  </si>
  <si>
    <t>6200</t>
  </si>
  <si>
    <t xml:space="preserve">Buildings and Improvements of Buildings                                         </t>
  </si>
  <si>
    <t>6300</t>
  </si>
  <si>
    <t xml:space="preserve">Books and Media for New School Libraries or Major Expansion of School Libraries </t>
  </si>
  <si>
    <t>6400</t>
  </si>
  <si>
    <t xml:space="preserve">Equipment                                                                       </t>
  </si>
  <si>
    <t>6500</t>
  </si>
  <si>
    <t xml:space="preserve">Equipment Replacement                                                           </t>
  </si>
  <si>
    <t>6900</t>
  </si>
  <si>
    <t xml:space="preserve">Depreciation Expense                                                            </t>
  </si>
  <si>
    <t>7110</t>
  </si>
  <si>
    <t xml:space="preserve">Tuition for Instruction Under Interdistrict Attendance Agreements               </t>
  </si>
  <si>
    <t>7130</t>
  </si>
  <si>
    <t xml:space="preserve">State Special Schools                                                           </t>
  </si>
  <si>
    <t>7141</t>
  </si>
  <si>
    <t>Other Tuition, Excess Costs, and/or Deficit Payments to Districts or Charter Sch</t>
  </si>
  <si>
    <t>7142</t>
  </si>
  <si>
    <t xml:space="preserve">Other Tuition, Excess Costs, and/or Deficit Payments to County Offices          </t>
  </si>
  <si>
    <t>7143</t>
  </si>
  <si>
    <t xml:space="preserve">Other Tuition, Excess Costs, and/or Deficit Payments to JPAs                    </t>
  </si>
  <si>
    <t>7211</t>
  </si>
  <si>
    <t xml:space="preserve">Transfers of Pass-Through Revenues to Districts or Charter Schools              </t>
  </si>
  <si>
    <t>7212</t>
  </si>
  <si>
    <t xml:space="preserve">Transfers of Pass-Through Revenues to County Offices                            </t>
  </si>
  <si>
    <t>7213</t>
  </si>
  <si>
    <t xml:space="preserve">Transfers of Pass-Through Revenues to JPAs                                      </t>
  </si>
  <si>
    <t>7221</t>
  </si>
  <si>
    <t xml:space="preserve">Transfers of Apportionments to Districts or Charter Schools                     </t>
  </si>
  <si>
    <t>7222</t>
  </si>
  <si>
    <t xml:space="preserve">Transfers of Apportionments to County Offices                                   </t>
  </si>
  <si>
    <t>7223</t>
  </si>
  <si>
    <t xml:space="preserve">Transfers of Apportionments to JPAs                                             </t>
  </si>
  <si>
    <t>7280</t>
  </si>
  <si>
    <t xml:space="preserve">(Obsolete) Transfers to Charter Schools in Lieu of Property Taxes               </t>
  </si>
  <si>
    <t>7281</t>
  </si>
  <si>
    <t xml:space="preserve">All Other Transfers to Districts or Charter Schools                             </t>
  </si>
  <si>
    <t>7282</t>
  </si>
  <si>
    <t xml:space="preserve">All Other Transfers to County Offices                                           </t>
  </si>
  <si>
    <t>7283</t>
  </si>
  <si>
    <t xml:space="preserve">All Other Transfers to JPAs                                                     </t>
  </si>
  <si>
    <t>7299</t>
  </si>
  <si>
    <t xml:space="preserve">All Other Transfers Out to All Others                                           </t>
  </si>
  <si>
    <t>7310</t>
  </si>
  <si>
    <t xml:space="preserve">Transfers of Indirect Costs                                                     </t>
  </si>
  <si>
    <t>7350</t>
  </si>
  <si>
    <t xml:space="preserve">Transfers of Indirect Costs - Interfund                                         </t>
  </si>
  <si>
    <t>7370</t>
  </si>
  <si>
    <t xml:space="preserve">Transfers of Direct Support Costs                                               </t>
  </si>
  <si>
    <t>7380</t>
  </si>
  <si>
    <t xml:space="preserve">Transfers of Direct Support Costs - Interfund                                   </t>
  </si>
  <si>
    <t>7432</t>
  </si>
  <si>
    <t xml:space="preserve">State School Building Repayments                                                </t>
  </si>
  <si>
    <t>7433</t>
  </si>
  <si>
    <t xml:space="preserve">Bond Redemptions                                                                </t>
  </si>
  <si>
    <t>7434</t>
  </si>
  <si>
    <t xml:space="preserve">Bond Interest and Other Service Charges                                         </t>
  </si>
  <si>
    <t>7435</t>
  </si>
  <si>
    <t xml:space="preserve">Repayment of State School Building Fund Aid - Proceeds from Bonds               </t>
  </si>
  <si>
    <t>7436</t>
  </si>
  <si>
    <t xml:space="preserve">Payments to Original District for Acquisition of Property                       </t>
  </si>
  <si>
    <t>7438</t>
  </si>
  <si>
    <t xml:space="preserve">Debt Service - Interest                                                         </t>
  </si>
  <si>
    <t>7439</t>
  </si>
  <si>
    <t xml:space="preserve">Other Debt Service - Principal                                                  </t>
  </si>
  <si>
    <t>7611</t>
  </si>
  <si>
    <t xml:space="preserve">From General Fund to Child Development Fund                                     </t>
  </si>
  <si>
    <t>7612</t>
  </si>
  <si>
    <t xml:space="preserve">Between General Fund and Special Reserve Fund                                   </t>
  </si>
  <si>
    <t>7613</t>
  </si>
  <si>
    <t>To State School Building Fund/County School Facilities Fund from All Other Funds</t>
  </si>
  <si>
    <t>7614</t>
  </si>
  <si>
    <t xml:space="preserve">From Bond Interest and Redemption Fund to General Fund                          </t>
  </si>
  <si>
    <t>7615</t>
  </si>
  <si>
    <t xml:space="preserve">From General, Special Reserve, and Building Funds to Deferred Maintenance Fund  </t>
  </si>
  <si>
    <t>7616</t>
  </si>
  <si>
    <t xml:space="preserve">From General Fund to Cafeteria Fund                                             </t>
  </si>
  <si>
    <t>7619</t>
  </si>
  <si>
    <t xml:space="preserve">Other Authorized Interfund Transfers Out                                        </t>
  </si>
  <si>
    <t>7632</t>
  </si>
  <si>
    <t xml:space="preserve">(Obsolete) State School Building Repayment                                      </t>
  </si>
  <si>
    <t>7633</t>
  </si>
  <si>
    <t xml:space="preserve">(Obsolete) Bond Redemptions                                                     </t>
  </si>
  <si>
    <t>7634</t>
  </si>
  <si>
    <t xml:space="preserve">(Obsolete) Bond Interest and Other Service Charges                              </t>
  </si>
  <si>
    <t>7635</t>
  </si>
  <si>
    <t xml:space="preserve">(Obsolete) Repayment of State School Building Fund Aid - Proceeds from Bonds    </t>
  </si>
  <si>
    <t>7636</t>
  </si>
  <si>
    <t xml:space="preserve">(Obsolete) Payments to Original District for Acquisition of Property            </t>
  </si>
  <si>
    <t>7638</t>
  </si>
  <si>
    <t xml:space="preserve">(Obsolete) Debt Service - Interest                                              </t>
  </si>
  <si>
    <t>7639</t>
  </si>
  <si>
    <t xml:space="preserve">(Obsolete) Other Debt Service - Principal                                       </t>
  </si>
  <si>
    <t>7641</t>
  </si>
  <si>
    <t xml:space="preserve">(Obsolete) Long-Term Loan Repayments                                            </t>
  </si>
  <si>
    <t>7649</t>
  </si>
  <si>
    <t xml:space="preserve">(Obsolete) Other Loan Repayments                                                </t>
  </si>
  <si>
    <t>7651</t>
  </si>
  <si>
    <t xml:space="preserve">Transfers of Funds from Lapsed/Reorganized LEAs                                 </t>
  </si>
  <si>
    <t>7699</t>
  </si>
  <si>
    <t xml:space="preserve">All Other Financing Uses                                                        </t>
  </si>
  <si>
    <t>8011</t>
  </si>
  <si>
    <t xml:space="preserve">Revenue Limit State Aid - Current Year                                          </t>
  </si>
  <si>
    <t>8015</t>
  </si>
  <si>
    <t xml:space="preserve">Charter Schools General Purpose Entitlement - State Aid                         </t>
  </si>
  <si>
    <t>8019</t>
  </si>
  <si>
    <t xml:space="preserve">Revenue Limit State Aid - Prior Years                                           </t>
  </si>
  <si>
    <t>8021</t>
  </si>
  <si>
    <t xml:space="preserve">Homeowners' Exemptions                                                          </t>
  </si>
  <si>
    <t>8022</t>
  </si>
  <si>
    <t xml:space="preserve">Timber Yield Tax                                                                </t>
  </si>
  <si>
    <t>8029</t>
  </si>
  <si>
    <t xml:space="preserve">Other Subventions/In-Lieu Taxes                                                 </t>
  </si>
  <si>
    <t>8030</t>
  </si>
  <si>
    <t xml:space="preserve">(Obsolete) Trailer Coach Fees                                                   </t>
  </si>
  <si>
    <t>8041</t>
  </si>
  <si>
    <t xml:space="preserve">Secured Roll Taxes                                                              </t>
  </si>
  <si>
    <t>8042</t>
  </si>
  <si>
    <t xml:space="preserve">Unsecured Roll Taxes                                                            </t>
  </si>
  <si>
    <t>8043</t>
  </si>
  <si>
    <t xml:space="preserve">Prior Years' Taxes                                                              </t>
  </si>
  <si>
    <t>8044</t>
  </si>
  <si>
    <t xml:space="preserve">Supplemental Taxes                                                              </t>
  </si>
  <si>
    <t>8045</t>
  </si>
  <si>
    <t xml:space="preserve">Education Revenue Augmentation Fund (ERAF)                                      </t>
  </si>
  <si>
    <t>8046</t>
  </si>
  <si>
    <t xml:space="preserve">Supplemental Educational Revenue Augmentation Fund (SERAF)                      </t>
  </si>
  <si>
    <t>8047</t>
  </si>
  <si>
    <t xml:space="preserve">Community Redevelopment Funds                                                   </t>
  </si>
  <si>
    <t>8048</t>
  </si>
  <si>
    <t xml:space="preserve">Penalties and Interest from Delinquent Taxes                                    </t>
  </si>
  <si>
    <t>8070</t>
  </si>
  <si>
    <t xml:space="preserve">Receipts from County Board of Supervisors                                       </t>
  </si>
  <si>
    <t>8081</t>
  </si>
  <si>
    <t xml:space="preserve">Royalties and Bonuses                                                           </t>
  </si>
  <si>
    <t>8082</t>
  </si>
  <si>
    <t xml:space="preserve">Other In-Lieu Taxes                                                             </t>
  </si>
  <si>
    <t>8089</t>
  </si>
  <si>
    <t xml:space="preserve">Less: Non-Revenue Limit (50 Percent) Adjustment                                 </t>
  </si>
  <si>
    <t>8091</t>
  </si>
  <si>
    <t xml:space="preserve">Revenue Limit Transfers - Current Year                                          </t>
  </si>
  <si>
    <t>8092</t>
  </si>
  <si>
    <t xml:space="preserve">PERS Reduction Transfer                                                         </t>
  </si>
  <si>
    <t>8096</t>
  </si>
  <si>
    <t xml:space="preserve">Transfers to Charter Schools in Lieu of Property Taxes                          </t>
  </si>
  <si>
    <t>8097</t>
  </si>
  <si>
    <t xml:space="preserve">Property Taxes Transfers                                                        </t>
  </si>
  <si>
    <t>8099</t>
  </si>
  <si>
    <t xml:space="preserve">Revenue Limit Transfers - Prior Years                                           </t>
  </si>
  <si>
    <t>8110</t>
  </si>
  <si>
    <t xml:space="preserve">Maintenance and Operations (Public Law 81-874)                                  </t>
  </si>
  <si>
    <t>8181</t>
  </si>
  <si>
    <t xml:space="preserve">Special Education - Entitlement                                                 </t>
  </si>
  <si>
    <t>8182</t>
  </si>
  <si>
    <t xml:space="preserve">Special Education - Discretionary Grants                                        </t>
  </si>
  <si>
    <t>8220</t>
  </si>
  <si>
    <t xml:space="preserve">Child Nutrition Programs                                                        </t>
  </si>
  <si>
    <t>8260</t>
  </si>
  <si>
    <t xml:space="preserve">Forest Reserve Funds                                                            </t>
  </si>
  <si>
    <t>8270</t>
  </si>
  <si>
    <t xml:space="preserve">Flood Control Funds                                                             </t>
  </si>
  <si>
    <t>8280</t>
  </si>
  <si>
    <t xml:space="preserve">U.S. Wildlife Reserve Funds                                                     </t>
  </si>
  <si>
    <t>8281</t>
  </si>
  <si>
    <t xml:space="preserve">FEMA                                                                            </t>
  </si>
  <si>
    <t>8285</t>
  </si>
  <si>
    <t xml:space="preserve">Interagency Contracts Between LEAs                                              </t>
  </si>
  <si>
    <t>8287</t>
  </si>
  <si>
    <t xml:space="preserve">Pass-Through Revenues from Federal Sources                                      </t>
  </si>
  <si>
    <t>8290</t>
  </si>
  <si>
    <t xml:space="preserve">All Other Federal Revenue                                                       </t>
  </si>
  <si>
    <t>8311</t>
  </si>
  <si>
    <t xml:space="preserve">Other State Apportionments - Current Year                                       </t>
  </si>
  <si>
    <t>8319</t>
  </si>
  <si>
    <t xml:space="preserve">Other State Apportionments - Prior Years                                        </t>
  </si>
  <si>
    <t>8425</t>
  </si>
  <si>
    <t xml:space="preserve">Year-Round School Incentive                                                     </t>
  </si>
  <si>
    <t>8434</t>
  </si>
  <si>
    <t xml:space="preserve">Class Size Reduction, Grades K-3                                                </t>
  </si>
  <si>
    <t>8435</t>
  </si>
  <si>
    <t xml:space="preserve">Class Size Reduction, Grade Nine                                                </t>
  </si>
  <si>
    <t>8480</t>
  </si>
  <si>
    <t xml:space="preserve">Charter Schools Categorical Block Grant                                         </t>
  </si>
  <si>
    <t>8520</t>
  </si>
  <si>
    <t xml:space="preserve">Child Nutrition                                                                 </t>
  </si>
  <si>
    <t>8530</t>
  </si>
  <si>
    <t xml:space="preserve">Child Development Apportionments                                                </t>
  </si>
  <si>
    <t>8540</t>
  </si>
  <si>
    <t xml:space="preserve">Deferred Maintenance Allowance                                                  </t>
  </si>
  <si>
    <t>8545</t>
  </si>
  <si>
    <t xml:space="preserve">School Facilities Apportionments                                                </t>
  </si>
  <si>
    <t>8550</t>
  </si>
  <si>
    <t xml:space="preserve">Mandated Cost Reimbursements                                                    </t>
  </si>
  <si>
    <t>8560</t>
  </si>
  <si>
    <t xml:space="preserve">State Lottery Revenue                                                           </t>
  </si>
  <si>
    <t>8571</t>
  </si>
  <si>
    <t xml:space="preserve">Voted Indebtedness Levies, Homeowners' Exemptions                               </t>
  </si>
  <si>
    <t>8572</t>
  </si>
  <si>
    <t xml:space="preserve">Voted Indebtedness Levies, Other Subventions/In-Lieu Taxes                      </t>
  </si>
  <si>
    <t>8575</t>
  </si>
  <si>
    <t xml:space="preserve">Other Restricted Levies, Homeowners' Exemptions                                 </t>
  </si>
  <si>
    <t>8576</t>
  </si>
  <si>
    <t xml:space="preserve">Other Restricted Levies, Other Subventions/In-Lieu Taxes                        </t>
  </si>
  <si>
    <t>8587</t>
  </si>
  <si>
    <t xml:space="preserve">Pass-Through Revenues from State Sources                                        </t>
  </si>
  <si>
    <t>8590</t>
  </si>
  <si>
    <t xml:space="preserve">All Other State Revenue                                                         </t>
  </si>
  <si>
    <t>8611</t>
  </si>
  <si>
    <t xml:space="preserve">Voted Indebtedness Levies, Secured Roll                                         </t>
  </si>
  <si>
    <t>8612</t>
  </si>
  <si>
    <t xml:space="preserve">Voted Indebtedness Levies, Unsecured Roll                                       </t>
  </si>
  <si>
    <t>8613</t>
  </si>
  <si>
    <t xml:space="preserve">Voted Indebtedness Levies, Prior Years' Taxes                                   </t>
  </si>
  <si>
    <t>8614</t>
  </si>
  <si>
    <t xml:space="preserve">Voted Indebtedness Levies, Supplemental Taxes                                   </t>
  </si>
  <si>
    <t>8615</t>
  </si>
  <si>
    <t xml:space="preserve">Other Restricted Levies, Secured Roll                                           </t>
  </si>
  <si>
    <t>8616</t>
  </si>
  <si>
    <t xml:space="preserve">Other Restricted Levies, Unsecured Roll                                         </t>
  </si>
  <si>
    <t>8617</t>
  </si>
  <si>
    <t xml:space="preserve">Other Restricted Levies, Prior Years' Taxes                                     </t>
  </si>
  <si>
    <t>8618</t>
  </si>
  <si>
    <t xml:space="preserve">Other Restricted Levies, Supplemental Taxes                                     </t>
  </si>
  <si>
    <t>8621</t>
  </si>
  <si>
    <t xml:space="preserve">Parcel Taxes                                                                    </t>
  </si>
  <si>
    <t>8622</t>
  </si>
  <si>
    <t xml:space="preserve">Other Non-Ad Valorem Taxes                                                      </t>
  </si>
  <si>
    <t>8625</t>
  </si>
  <si>
    <t xml:space="preserve">Community Redevelopment Funds Not Subject to Revenue Limit Deduction            </t>
  </si>
  <si>
    <t>8629</t>
  </si>
  <si>
    <t xml:space="preserve">Penalties and Interest from Delinquent Non-Revenue Limit Taxes                  </t>
  </si>
  <si>
    <t>8631</t>
  </si>
  <si>
    <t xml:space="preserve">Sale of Equipment and Supplies                                                  </t>
  </si>
  <si>
    <t>8632</t>
  </si>
  <si>
    <t xml:space="preserve">Sale of Publications                                                            </t>
  </si>
  <si>
    <t>8634</t>
  </si>
  <si>
    <t xml:space="preserve">Food Service Sales                                                              </t>
  </si>
  <si>
    <t>8639</t>
  </si>
  <si>
    <t xml:space="preserve">All Other Sales                                                                 </t>
  </si>
  <si>
    <t>8650</t>
  </si>
  <si>
    <t xml:space="preserve">Leases and Rentals                                                              </t>
  </si>
  <si>
    <t>8660</t>
  </si>
  <si>
    <t xml:space="preserve">Interest                                                                        </t>
  </si>
  <si>
    <t>8662</t>
  </si>
  <si>
    <t xml:space="preserve">Net Increase (Decrease) in the Fair Value of Investments                        </t>
  </si>
  <si>
    <t>8671</t>
  </si>
  <si>
    <t xml:space="preserve">Adult Education Fees                                                            </t>
  </si>
  <si>
    <t>8672</t>
  </si>
  <si>
    <t xml:space="preserve">Nonresident Student Fees                                                        </t>
  </si>
  <si>
    <t>8673</t>
  </si>
  <si>
    <t xml:space="preserve">Child Development Parent Fees                                                   </t>
  </si>
  <si>
    <t>8674</t>
  </si>
  <si>
    <t xml:space="preserve">In-District Premiums/Contributions                                              </t>
  </si>
  <si>
    <t>8675</t>
  </si>
  <si>
    <t xml:space="preserve">Transportation Fees from Individuals                                            </t>
  </si>
  <si>
    <t>8677</t>
  </si>
  <si>
    <t xml:space="preserve">Interagency Services Between LEAs                                               </t>
  </si>
  <si>
    <t>8681</t>
  </si>
  <si>
    <t xml:space="preserve">Mitigation/Developer Fees                                                       </t>
  </si>
  <si>
    <t>8689</t>
  </si>
  <si>
    <t xml:space="preserve">All Other Fees and Contracts                                                    </t>
  </si>
  <si>
    <t>8691</t>
  </si>
  <si>
    <t xml:space="preserve">Plus: Miscellaneous Funds Non-Revenue Limit (50 Percent) Adjustment             </t>
  </si>
  <si>
    <t>8697</t>
  </si>
  <si>
    <t xml:space="preserve">Pass-Through Revenue from Local Sources                                         </t>
  </si>
  <si>
    <t>8699</t>
  </si>
  <si>
    <t xml:space="preserve">All Other Local Revenue                                                         </t>
  </si>
  <si>
    <t>8710</t>
  </si>
  <si>
    <t xml:space="preserve">Tuition                                                                         </t>
  </si>
  <si>
    <t>8780</t>
  </si>
  <si>
    <t>(Obsolete) Transfers from Sponsoring LEAs to Charter Schools in Lieu of Property</t>
  </si>
  <si>
    <t>8781</t>
  </si>
  <si>
    <t xml:space="preserve">All Other Transfers from Districts or Charter Schools                           </t>
  </si>
  <si>
    <t>8782</t>
  </si>
  <si>
    <t xml:space="preserve">All Other Transfers from County Offices                                         </t>
  </si>
  <si>
    <t>8783</t>
  </si>
  <si>
    <t xml:space="preserve">All Other Transfers from JPAs                                                   </t>
  </si>
  <si>
    <t>8791</t>
  </si>
  <si>
    <t xml:space="preserve">Transfers of Apportionments from Districts or Charter Schools                   </t>
  </si>
  <si>
    <t>8792</t>
  </si>
  <si>
    <t xml:space="preserve">Transfers of Apportionments from County Offices                                 </t>
  </si>
  <si>
    <t>8793</t>
  </si>
  <si>
    <t xml:space="preserve">Transfers of Apportionments from JPAs                                           </t>
  </si>
  <si>
    <t>8799</t>
  </si>
  <si>
    <t xml:space="preserve">Other Transfers In from All Others                                              </t>
  </si>
  <si>
    <t>8911</t>
  </si>
  <si>
    <t xml:space="preserve">To Child Development Fund from General Fund                                     </t>
  </si>
  <si>
    <t>8912</t>
  </si>
  <si>
    <t>8913</t>
  </si>
  <si>
    <t>8914</t>
  </si>
  <si>
    <t xml:space="preserve">To General Fund from Bond Interest and Redemption Fund                          </t>
  </si>
  <si>
    <t>8915</t>
  </si>
  <si>
    <t xml:space="preserve">To Deferred Maintenance Fund from General, Special Reserve and Building Funds   </t>
  </si>
  <si>
    <t>8916</t>
  </si>
  <si>
    <t xml:space="preserve">To Cafeteria Fund from General Fund                                             </t>
  </si>
  <si>
    <t>8919</t>
  </si>
  <si>
    <t xml:space="preserve">Other Authorized Interfund Transfers In                                         </t>
  </si>
  <si>
    <t>8931</t>
  </si>
  <si>
    <t xml:space="preserve">Emergency Apportionments                                                        </t>
  </si>
  <si>
    <t>8935</t>
  </si>
  <si>
    <t xml:space="preserve">(Obsolete) School Facilities Apportionments                                     </t>
  </si>
  <si>
    <t>8951</t>
  </si>
  <si>
    <t xml:space="preserve">Proceeds from Sale of Bonds                                                     </t>
  </si>
  <si>
    <t>8953</t>
  </si>
  <si>
    <t xml:space="preserve">Proceeds from Sale/Lease Purchase of Land and Buildings                         </t>
  </si>
  <si>
    <t>8961</t>
  </si>
  <si>
    <t xml:space="preserve">County School Building Aid                                                      </t>
  </si>
  <si>
    <t>8965</t>
  </si>
  <si>
    <t xml:space="preserve">Transfers from Funds of Lapsed/Reorganized LEAs                                 </t>
  </si>
  <si>
    <t>8971</t>
  </si>
  <si>
    <t xml:space="preserve">Proceeds from Certificates of Participation                                     </t>
  </si>
  <si>
    <t>8972</t>
  </si>
  <si>
    <t xml:space="preserve">Proceeds from Capital Leases                                                    </t>
  </si>
  <si>
    <t>8973</t>
  </si>
  <si>
    <t xml:space="preserve">Proceeds from Lease Revenue Bonds                                               </t>
  </si>
  <si>
    <t>8979</t>
  </si>
  <si>
    <t xml:space="preserve">All Other Financing Sources                                                     </t>
  </si>
  <si>
    <t>8980</t>
  </si>
  <si>
    <t xml:space="preserve">Contributions from Unrestricted Revenues                                        </t>
  </si>
  <si>
    <t>8990</t>
  </si>
  <si>
    <t xml:space="preserve">Contributions from Restricted Revenues                                          </t>
  </si>
  <si>
    <t>8995</t>
  </si>
  <si>
    <t xml:space="preserve">Categorical Education Block Grant Transfers                                     </t>
  </si>
  <si>
    <t>8997</t>
  </si>
  <si>
    <t xml:space="preserve">Transfers of Restricted Balances                                                </t>
  </si>
  <si>
    <t>8998</t>
  </si>
  <si>
    <t xml:space="preserve">Categorical Flexibility Transfers                                               </t>
  </si>
  <si>
    <t>9110</t>
  </si>
  <si>
    <t xml:space="preserve">Cash in County Treasury                                                         </t>
  </si>
  <si>
    <t>9111</t>
  </si>
  <si>
    <t xml:space="preserve">Fair Value Adjustment to Cash in County Treasury                                </t>
  </si>
  <si>
    <t>9120</t>
  </si>
  <si>
    <t xml:space="preserve">Cash in Bank(s)                                                                 </t>
  </si>
  <si>
    <t>9130</t>
  </si>
  <si>
    <t xml:space="preserve">Revolving Cash Account                                                          </t>
  </si>
  <si>
    <t>9135</t>
  </si>
  <si>
    <t xml:space="preserve">Cash with a Fiscal Agent/Trustee                                                </t>
  </si>
  <si>
    <t>9140</t>
  </si>
  <si>
    <t xml:space="preserve">Cash Collections Awaiting Deposit                                               </t>
  </si>
  <si>
    <t>9150</t>
  </si>
  <si>
    <t xml:space="preserve">Investments                                                                     </t>
  </si>
  <si>
    <t>9200</t>
  </si>
  <si>
    <t xml:space="preserve">Accounts Receivable                                                             </t>
  </si>
  <si>
    <t>9290</t>
  </si>
  <si>
    <t xml:space="preserve">Due from Grantor Governments                                                    </t>
  </si>
  <si>
    <t>9310</t>
  </si>
  <si>
    <t xml:space="preserve">Due from Other Funds                                                            </t>
  </si>
  <si>
    <t>9320</t>
  </si>
  <si>
    <t xml:space="preserve">Stores                                                                          </t>
  </si>
  <si>
    <t>9330</t>
  </si>
  <si>
    <t xml:space="preserve">Prepaid Expenditures (Expenses)                                                 </t>
  </si>
  <si>
    <t>9340</t>
  </si>
  <si>
    <t xml:space="preserve">Other Current Assets                                                            </t>
  </si>
  <si>
    <t>9410</t>
  </si>
  <si>
    <t>9420</t>
  </si>
  <si>
    <t>9425</t>
  </si>
  <si>
    <t xml:space="preserve">Accumulated Depreciation - Land Improvements                                    </t>
  </si>
  <si>
    <t>9430</t>
  </si>
  <si>
    <t xml:space="preserve">Buildings                                                                       </t>
  </si>
  <si>
    <t>9435</t>
  </si>
  <si>
    <t xml:space="preserve">Accumulated Depreciation - Buildings                                            </t>
  </si>
  <si>
    <t>9440</t>
  </si>
  <si>
    <t>9445</t>
  </si>
  <si>
    <t xml:space="preserve">Accumulated Depreciation - Equipment                                            </t>
  </si>
  <si>
    <t>9450</t>
  </si>
  <si>
    <t xml:space="preserve">Work in Progress                                                                </t>
  </si>
  <si>
    <t>9500</t>
  </si>
  <si>
    <t xml:space="preserve">Accounts Payable (Current Liabilities)                                          </t>
  </si>
  <si>
    <t>9590</t>
  </si>
  <si>
    <t xml:space="preserve">Due to Grantor Governments                                                      </t>
  </si>
  <si>
    <t>9610</t>
  </si>
  <si>
    <t xml:space="preserve">Due to Other Funds                                                              </t>
  </si>
  <si>
    <t>9620</t>
  </si>
  <si>
    <t xml:space="preserve">Due to Student Groups/Other Agencies                                            </t>
  </si>
  <si>
    <t>9640</t>
  </si>
  <si>
    <t xml:space="preserve">Current Loans                                                                   </t>
  </si>
  <si>
    <t>9650</t>
  </si>
  <si>
    <t xml:space="preserve">Deferred Revenue                                                                </t>
  </si>
  <si>
    <t>9661</t>
  </si>
  <si>
    <t xml:space="preserve">General Obligation Bond Payable                                                 </t>
  </si>
  <si>
    <t>9662</t>
  </si>
  <si>
    <t xml:space="preserve">State School Building Loans Payable                                             </t>
  </si>
  <si>
    <t>9664</t>
  </si>
  <si>
    <t xml:space="preserve">Net OPEB Obligation                                                             </t>
  </si>
  <si>
    <t>9665</t>
  </si>
  <si>
    <t xml:space="preserve">Compensated Absences Payable                                                    </t>
  </si>
  <si>
    <t>9666</t>
  </si>
  <si>
    <t xml:space="preserve">Certificates of Participation (COPs) Payable                                    </t>
  </si>
  <si>
    <t>9667</t>
  </si>
  <si>
    <t xml:space="preserve">Capital Leases Payable                                                          </t>
  </si>
  <si>
    <t>9668</t>
  </si>
  <si>
    <t xml:space="preserve">Lease Revenue Bonds Payable                                                     </t>
  </si>
  <si>
    <t>9669</t>
  </si>
  <si>
    <t xml:space="preserve">Other General Long-Term Debt                                                    </t>
  </si>
  <si>
    <t>9711</t>
  </si>
  <si>
    <t xml:space="preserve">Reserve for Revolving Cash                                                      </t>
  </si>
  <si>
    <t>9712</t>
  </si>
  <si>
    <t xml:space="preserve">Reserve for Stores                                                              </t>
  </si>
  <si>
    <t>9713</t>
  </si>
  <si>
    <t xml:space="preserve">Reserve for Prepaid Expenditures (Expenses)                                     </t>
  </si>
  <si>
    <t>9719</t>
  </si>
  <si>
    <t xml:space="preserve">Reserve for All Others                                                          </t>
  </si>
  <si>
    <t>9730</t>
  </si>
  <si>
    <t xml:space="preserve">General Reserve                                                                 </t>
  </si>
  <si>
    <t>9740</t>
  </si>
  <si>
    <t xml:space="preserve">Legally Restricted Balance                                                      </t>
  </si>
  <si>
    <t>9770</t>
  </si>
  <si>
    <t xml:space="preserve">Designated for Economic Uncertainties                                           </t>
  </si>
  <si>
    <t>9775</t>
  </si>
  <si>
    <t xml:space="preserve">Designated for the Unrealized Gains of Investments and Cash in County Treasury  </t>
  </si>
  <si>
    <t>9780</t>
  </si>
  <si>
    <t xml:space="preserve">Other Designations                                                              </t>
  </si>
  <si>
    <t>9790</t>
  </si>
  <si>
    <t xml:space="preserve">Undesignated/Unappropriated                                                     </t>
  </si>
  <si>
    <t>9791</t>
  </si>
  <si>
    <t xml:space="preserve">Beginning Fund Balance                                                          </t>
  </si>
  <si>
    <t>9793</t>
  </si>
  <si>
    <t xml:space="preserve">Audit Adjustments                                                               </t>
  </si>
  <si>
    <t>9795</t>
  </si>
  <si>
    <t xml:space="preserve">Other Restatements                                                              </t>
  </si>
  <si>
    <t>9980</t>
  </si>
  <si>
    <t xml:space="preserve">Amount Available                                                                </t>
  </si>
  <si>
    <t>9989</t>
  </si>
  <si>
    <t xml:space="preserve">Amount to be Provided                                                           </t>
  </si>
  <si>
    <t>9990</t>
  </si>
  <si>
    <t xml:space="preserve">Investment in General Fixed Assets                                              </t>
  </si>
  <si>
    <t>2410</t>
  </si>
  <si>
    <t>5210</t>
  </si>
  <si>
    <t>5605</t>
  </si>
  <si>
    <t>5610</t>
  </si>
  <si>
    <t>5810</t>
  </si>
  <si>
    <t>7010</t>
  </si>
  <si>
    <t>1000</t>
  </si>
  <si>
    <t>1120</t>
  </si>
  <si>
    <t>2110</t>
  </si>
  <si>
    <t>4000</t>
  </si>
  <si>
    <t>5000</t>
  </si>
  <si>
    <t>6000</t>
  </si>
  <si>
    <t>7500</t>
  </si>
  <si>
    <t>= STRS employer rate</t>
  </si>
  <si>
    <t>= PERS employer rate</t>
  </si>
  <si>
    <t>Monthly</t>
  </si>
  <si>
    <t>Health Rate</t>
  </si>
  <si>
    <t>= Default monthly employer health expense</t>
  </si>
  <si>
    <t>ACCTID</t>
  </si>
  <si>
    <t>ACCTDESC</t>
  </si>
  <si>
    <t>Teachers'  Salaries</t>
  </si>
  <si>
    <t>Teachers'  Bonuses</t>
  </si>
  <si>
    <t>Substitute Expense</t>
  </si>
  <si>
    <t>Certificated Pupil Support Salaries</t>
  </si>
  <si>
    <t>Certificated Supervisor and Administrator Salaries</t>
  </si>
  <si>
    <t>Certificated Supervisor and Administrator Bonuses</t>
  </si>
  <si>
    <t>Other Certificated Salaries</t>
  </si>
  <si>
    <t>Other Certificated Overtime</t>
  </si>
  <si>
    <t>Instructional Aide Salaries</t>
  </si>
  <si>
    <t>Instructional Aide Overtime</t>
  </si>
  <si>
    <t>Classified Support Salaries</t>
  </si>
  <si>
    <t>Classified Support Overtime</t>
  </si>
  <si>
    <t>Classified Supervisor and Administrator Salaries</t>
  </si>
  <si>
    <t>Clerical, Technical, and Office Staff Salaries</t>
  </si>
  <si>
    <t>Clerical, Technical, and Office Staff Overtime</t>
  </si>
  <si>
    <t>Other Classified Salaries</t>
  </si>
  <si>
    <t>Other Stipends</t>
  </si>
  <si>
    <t>Other Classified Overtime</t>
  </si>
  <si>
    <t>State Teachers' Retirement System, certificated positions</t>
  </si>
  <si>
    <t>Public Employees' Retirement System, classified positions</t>
  </si>
  <si>
    <t>Health &amp; Welfare Benefits</t>
  </si>
  <si>
    <t>State Unemployment Insurance</t>
  </si>
  <si>
    <t>Worker Compensation Insurance</t>
  </si>
  <si>
    <t>Approved Textbooks and Core Curricula Materials</t>
  </si>
  <si>
    <t>Books and Other Reference Materials</t>
  </si>
  <si>
    <t>Classroom Materials and Supplies</t>
  </si>
  <si>
    <t>Materials and Supplies</t>
  </si>
  <si>
    <t>Noncapitalized Equipment</t>
  </si>
  <si>
    <t>Travel and Conferences</t>
  </si>
  <si>
    <t>Training and Development Expense</t>
  </si>
  <si>
    <t>Dues and Memberships</t>
  </si>
  <si>
    <t>Insurance</t>
  </si>
  <si>
    <t>Operation and Housekeeping Services/Supplies</t>
  </si>
  <si>
    <t>Utilities</t>
  </si>
  <si>
    <t>Space Rental/Leases Expense</t>
  </si>
  <si>
    <t>Building Maintenance</t>
  </si>
  <si>
    <t>Equipment Rental/Lease Expense</t>
  </si>
  <si>
    <t>Equipment Repair</t>
  </si>
  <si>
    <t>Professional/Consulting Services and Operating Expenditures</t>
  </si>
  <si>
    <t>Banking and Payroll Service Fees</t>
  </si>
  <si>
    <t>Educational Consultants</t>
  </si>
  <si>
    <t>Communications</t>
  </si>
  <si>
    <t>Depreciation Expense</t>
  </si>
  <si>
    <t>Miscellaneous Expense</t>
  </si>
  <si>
    <t>Special Education Encroachment</t>
  </si>
  <si>
    <t>Fundraising Expense</t>
  </si>
  <si>
    <t>Debt Service - Interest</t>
  </si>
  <si>
    <t>District Oversight Fee</t>
  </si>
  <si>
    <t>Charter Schools General Purpose Entitlement - State Aid</t>
  </si>
  <si>
    <t>Special Education - Entitlement</t>
  </si>
  <si>
    <t>Federal Child Nutrition Programs</t>
  </si>
  <si>
    <t>All Other Federal Revenue</t>
  </si>
  <si>
    <t>Charter School Categorical Block Grant</t>
  </si>
  <si>
    <t>State Child Nutrition Program</t>
  </si>
  <si>
    <t>State Lottery Revenue</t>
  </si>
  <si>
    <t>All Other State Revenues</t>
  </si>
  <si>
    <t>Interest</t>
  </si>
  <si>
    <t>Charter Schools Funding In-Lieu of Property Taxes</t>
  </si>
  <si>
    <t>All Other Transfers from County Offices</t>
  </si>
  <si>
    <t>All Other Transfers from Other Locations</t>
  </si>
  <si>
    <t>Student Lunch Revenue</t>
  </si>
  <si>
    <t>Foundation Grants</t>
  </si>
  <si>
    <t>Student Body (ASB) Fundraising Revenue</t>
  </si>
  <si>
    <t>School Site Fundraising</t>
  </si>
  <si>
    <t>Rental Income</t>
  </si>
  <si>
    <t>Cash in Bank(s)</t>
  </si>
  <si>
    <t>Investments</t>
  </si>
  <si>
    <t>Accounts Receivables</t>
  </si>
  <si>
    <t>Loans Receivable</t>
  </si>
  <si>
    <t>Prepaid Expenses</t>
  </si>
  <si>
    <t>Employee Advances</t>
  </si>
  <si>
    <t>Other Current Assets</t>
  </si>
  <si>
    <t>Security Deposits</t>
  </si>
  <si>
    <t>Land</t>
  </si>
  <si>
    <t>Building Improvements</t>
  </si>
  <si>
    <t>Accumulated Depreciation - Building Improvements</t>
  </si>
  <si>
    <t>Buildings</t>
  </si>
  <si>
    <t>Accumulated Depreciation - Buildings</t>
  </si>
  <si>
    <t>Furniture &amp; Fixtures</t>
  </si>
  <si>
    <t>Computer Equipment</t>
  </si>
  <si>
    <t>Transportation Equipment</t>
  </si>
  <si>
    <t>Accumulated Depreciation - Furniture &amp; Fixtures</t>
  </si>
  <si>
    <t>Accumulated Depreciation - Computer Equipment</t>
  </si>
  <si>
    <t>Accumulated Depreciation - Transportation Equipment</t>
  </si>
  <si>
    <t>Construction in Progress</t>
  </si>
  <si>
    <t>Accounts Payable-System</t>
  </si>
  <si>
    <t>Accrued Salaries</t>
  </si>
  <si>
    <t>Accrued Payroll Taxes</t>
  </si>
  <si>
    <t>Accrued STRS</t>
  </si>
  <si>
    <t>Accrued PERS</t>
  </si>
  <si>
    <t>Accounts Payable-Accrual</t>
  </si>
  <si>
    <t>Loans Payable</t>
  </si>
  <si>
    <t>Deferred Revenue</t>
  </si>
  <si>
    <t>Voluntary Deductions</t>
  </si>
  <si>
    <t>Revolving Loan Payable</t>
  </si>
  <si>
    <t>Other Postemployment Benefits Payable</t>
  </si>
  <si>
    <t>Compensated Abscences Payable</t>
  </si>
  <si>
    <t>Capital Leases Payable</t>
  </si>
  <si>
    <t>Secured Debt Outstanding</t>
  </si>
  <si>
    <t>Reserve for Economic Uncertainty</t>
  </si>
  <si>
    <t>Undesignated Fund Balance</t>
  </si>
  <si>
    <t xml:space="preserve">= State Unemployment Insurance yearly employer expense </t>
  </si>
  <si>
    <t>= Workers' Comp employer rate</t>
  </si>
  <si>
    <t>= Medicare employer rate</t>
  </si>
  <si>
    <t xml:space="preserve">Total </t>
  </si>
  <si>
    <t>Benefits</t>
  </si>
  <si>
    <t>Total Direct</t>
  </si>
  <si>
    <t>Compensation</t>
  </si>
  <si>
    <t>Total</t>
  </si>
  <si>
    <t>Books and Supplies</t>
  </si>
  <si>
    <t>4430</t>
  </si>
  <si>
    <t>5501</t>
  </si>
  <si>
    <t>5505</t>
  </si>
  <si>
    <t>5601</t>
  </si>
  <si>
    <t>5803</t>
  </si>
  <si>
    <t>5805</t>
  </si>
  <si>
    <t>7000</t>
  </si>
  <si>
    <t>8291</t>
  </si>
  <si>
    <t>8292</t>
  </si>
  <si>
    <t>8293</t>
  </si>
  <si>
    <t>8294</t>
  </si>
  <si>
    <t>8295</t>
  </si>
  <si>
    <t>8784</t>
  </si>
  <si>
    <t>8982</t>
  </si>
  <si>
    <t>8983</t>
  </si>
  <si>
    <t>8984</t>
  </si>
  <si>
    <t>8985</t>
  </si>
  <si>
    <t>8986</t>
  </si>
  <si>
    <t>9125</t>
  </si>
  <si>
    <t>9311</t>
  </si>
  <si>
    <t>9335</t>
  </si>
  <si>
    <t>9350</t>
  </si>
  <si>
    <t>9441</t>
  </si>
  <si>
    <t>9442</t>
  </si>
  <si>
    <t>9446</t>
  </si>
  <si>
    <t>9447</t>
  </si>
  <si>
    <t>9501</t>
  </si>
  <si>
    <t>9502</t>
  </si>
  <si>
    <t>9503</t>
  </si>
  <si>
    <t>9504</t>
  </si>
  <si>
    <t>9505</t>
  </si>
  <si>
    <t>9660</t>
  </si>
  <si>
    <t>9663</t>
  </si>
  <si>
    <t>1105</t>
  </si>
  <si>
    <t>1305</t>
  </si>
  <si>
    <t>1910</t>
  </si>
  <si>
    <t>2210</t>
  </si>
  <si>
    <t>2905</t>
  </si>
  <si>
    <t>2910</t>
  </si>
  <si>
    <t>3403</t>
  </si>
  <si>
    <t>3503</t>
  </si>
  <si>
    <t>3603</t>
  </si>
  <si>
    <t>Subtotal</t>
  </si>
  <si>
    <t>Services and Other Operating Expenses</t>
  </si>
  <si>
    <t>Capital Outlay</t>
  </si>
  <si>
    <t>Other Outgoing</t>
  </si>
  <si>
    <t>Subotal</t>
  </si>
  <si>
    <t>Employee Inputs</t>
  </si>
  <si>
    <t>SACS Series</t>
  </si>
  <si>
    <t>SACS Object Code</t>
  </si>
  <si>
    <t>Code Description</t>
  </si>
  <si>
    <t>Retirement System</t>
  </si>
  <si>
    <t>for Employee</t>
  </si>
  <si>
    <t>Total Expenses</t>
  </si>
  <si>
    <t>Certificated Salaries</t>
  </si>
  <si>
    <t>Classified Salaries</t>
  </si>
  <si>
    <t>Employee Benefits</t>
  </si>
  <si>
    <t>Total Personnel Expenses</t>
  </si>
  <si>
    <t>Total Non-Personnel Expenses</t>
  </si>
  <si>
    <t>2000</t>
  </si>
  <si>
    <t>3000</t>
  </si>
  <si>
    <t>Salary</t>
  </si>
  <si>
    <t>Totals</t>
  </si>
  <si>
    <t>Overtime</t>
  </si>
  <si>
    <t>Bonus and</t>
  </si>
  <si>
    <t>Stipends</t>
  </si>
  <si>
    <t>Teachers Only</t>
  </si>
  <si>
    <t>Expenses Summary</t>
  </si>
  <si>
    <t>Non-Personnel Expenses Input</t>
  </si>
  <si>
    <t>Enrollment By Grade</t>
  </si>
  <si>
    <t>Kindergarten</t>
  </si>
  <si>
    <t>Grade 1</t>
  </si>
  <si>
    <t>Grade 2</t>
  </si>
  <si>
    <t>Grade 3</t>
  </si>
  <si>
    <t>Grade 4</t>
  </si>
  <si>
    <t>Grade 5</t>
  </si>
  <si>
    <t>Grade 6</t>
  </si>
  <si>
    <t>Grade 7</t>
  </si>
  <si>
    <t>Grade 8</t>
  </si>
  <si>
    <t>Grade 9</t>
  </si>
  <si>
    <t xml:space="preserve">Grade 10 </t>
  </si>
  <si>
    <t>Grade 11</t>
  </si>
  <si>
    <t>Grade 12</t>
  </si>
  <si>
    <t>Other Enrollment (Grade 12+, etc.)</t>
  </si>
  <si>
    <t>Total Enrollment</t>
  </si>
  <si>
    <t>Daily Attendance Rate</t>
  </si>
  <si>
    <t>ADA Grades K-3</t>
  </si>
  <si>
    <t>ADA Grades 4-6</t>
  </si>
  <si>
    <t>ADA Grades 7-8</t>
  </si>
  <si>
    <t>ADA Grades 9-12</t>
  </si>
  <si>
    <t>Average Daily Attendance Rate</t>
  </si>
  <si>
    <t>Average Daily Attendance by Grade</t>
  </si>
  <si>
    <t>Average Overall Daily Attendance</t>
  </si>
  <si>
    <t>Average Daily Attendance by Grade Range</t>
  </si>
  <si>
    <t>Number of Students</t>
  </si>
  <si>
    <t>English Language Learners</t>
  </si>
  <si>
    <t>Percentage of Students - ELL</t>
  </si>
  <si>
    <t>Poverty and Free/Reduced Price Lunch</t>
  </si>
  <si>
    <t>Free/Reduced priced lunch, number of students</t>
  </si>
  <si>
    <t>Student Input</t>
  </si>
  <si>
    <t>State</t>
  </si>
  <si>
    <t>Lottery</t>
  </si>
  <si>
    <t>if applicable</t>
  </si>
  <si>
    <t>no</t>
  </si>
  <si>
    <t>based on nonprofit status, high free/reduced counts</t>
  </si>
  <si>
    <t>SB 740 Rent re-imbursement program</t>
  </si>
  <si>
    <t>Federal</t>
  </si>
  <si>
    <t>Generally, if &gt;70% free/reduced priced lunch students</t>
  </si>
  <si>
    <t>Title I</t>
  </si>
  <si>
    <t>Title II</t>
  </si>
  <si>
    <t>Title III</t>
  </si>
  <si>
    <t>Title IV</t>
  </si>
  <si>
    <t>Title V</t>
  </si>
  <si>
    <t>if applicable, this year's amount</t>
  </si>
  <si>
    <t>Special Education</t>
  </si>
  <si>
    <t>Revenue</t>
  </si>
  <si>
    <t>Local</t>
  </si>
  <si>
    <t>State Revenue</t>
  </si>
  <si>
    <t>Federal Revenue</t>
  </si>
  <si>
    <t>Local Revenue</t>
  </si>
  <si>
    <t>local district funding rate, per ADA</t>
  </si>
  <si>
    <t>Total Revenue</t>
  </si>
  <si>
    <t>Budget Summary</t>
  </si>
  <si>
    <t>Expenses</t>
  </si>
  <si>
    <r>
      <t xml:space="preserve">Surplus / </t>
    </r>
    <r>
      <rPr>
        <b/>
        <sz val="12"/>
        <color rgb="FFFF0000"/>
        <rFont val="Times New Roman"/>
        <family val="1"/>
      </rPr>
      <t>(Deficit)</t>
    </r>
  </si>
  <si>
    <t>Monthly Cash Flow Assumptions</t>
  </si>
  <si>
    <t>July</t>
  </si>
  <si>
    <t>Aug</t>
  </si>
  <si>
    <t>Sept</t>
  </si>
  <si>
    <t>Oct</t>
  </si>
  <si>
    <t>Nov</t>
  </si>
  <si>
    <t>Dec</t>
  </si>
  <si>
    <t>Jan</t>
  </si>
  <si>
    <t>Feb</t>
  </si>
  <si>
    <t>Mar</t>
  </si>
  <si>
    <t>Apr</t>
  </si>
  <si>
    <t>May</t>
  </si>
  <si>
    <t>June</t>
  </si>
  <si>
    <t>Is this a new charter school?</t>
  </si>
  <si>
    <t>Operating School's General Purpose, state aid schedule</t>
  </si>
  <si>
    <t>New School's General Purpose, state aid schedule</t>
  </si>
  <si>
    <t>Monthly Cash Flow Projections</t>
  </si>
  <si>
    <t>These rows are hidden to maintain parallel contstruction with % tab</t>
  </si>
  <si>
    <r>
      <t xml:space="preserve">Total Monthly Surplus / </t>
    </r>
    <r>
      <rPr>
        <b/>
        <sz val="12"/>
        <color rgb="FFFF0000"/>
        <rFont val="Times New Roman"/>
        <family val="1"/>
      </rPr>
      <t>(Deficit)</t>
    </r>
  </si>
  <si>
    <t>Monthly Cash Flow Projection Graph</t>
  </si>
  <si>
    <t>Additional items needed for cash flow</t>
  </si>
  <si>
    <t>Cash balance at previous year end</t>
  </si>
  <si>
    <t>Accounts Receivable</t>
  </si>
  <si>
    <t>Accounts Payable</t>
  </si>
  <si>
    <t>Loan Principal Payable</t>
  </si>
  <si>
    <t>Please ensure you update the "Additional items…" section and $ amounts at the very bottom</t>
  </si>
  <si>
    <t>Enter $ Amounts</t>
  </si>
  <si>
    <r>
      <t xml:space="preserve">Monthly Operating Surplus / </t>
    </r>
    <r>
      <rPr>
        <b/>
        <sz val="12"/>
        <color rgb="FFFF0000"/>
        <rFont val="Times New Roman"/>
        <family val="1"/>
      </rPr>
      <t>(Deficit)</t>
    </r>
  </si>
  <si>
    <t>Projected Monthly Cash Balance</t>
  </si>
  <si>
    <t>Prior Year Income / Adjustments</t>
  </si>
  <si>
    <t>8591</t>
  </si>
  <si>
    <t>All Other Federal Revenue, inc Facilities Incentive Grants program</t>
  </si>
  <si>
    <t>State Child Nutrition program</t>
  </si>
  <si>
    <t>8592</t>
  </si>
  <si>
    <t>CMO Management fee</t>
  </si>
  <si>
    <t>4315</t>
  </si>
  <si>
    <t>General Student Equipment</t>
  </si>
  <si>
    <t>5815</t>
  </si>
  <si>
    <t>Advertising / Recruiting</t>
  </si>
  <si>
    <t>5820</t>
  </si>
  <si>
    <t>5890</t>
  </si>
  <si>
    <t>Interest Expense / Misc. Fees</t>
  </si>
  <si>
    <t>5891</t>
  </si>
  <si>
    <t>Charter School Capital Fees</t>
  </si>
  <si>
    <t>5899</t>
  </si>
  <si>
    <t>CMO Management Fee</t>
  </si>
  <si>
    <t>8785</t>
  </si>
  <si>
    <t>FSCSYR</t>
  </si>
  <si>
    <t>FSCSDSG</t>
  </si>
  <si>
    <t>FSCSCURN</t>
  </si>
  <si>
    <t>CURNTYPE</t>
  </si>
  <si>
    <t>NETPERD1</t>
  </si>
  <si>
    <t>NETPERD2</t>
  </si>
  <si>
    <t>NETPERD3</t>
  </si>
  <si>
    <t>NETPERD4</t>
  </si>
  <si>
    <t>NETPERD5</t>
  </si>
  <si>
    <t>NETPERD6</t>
  </si>
  <si>
    <t>NETPERD7</t>
  </si>
  <si>
    <t>NETPERD8</t>
  </si>
  <si>
    <t>NETPERD9</t>
  </si>
  <si>
    <t>NETPERD10</t>
  </si>
  <si>
    <t>NETPERD11</t>
  </si>
  <si>
    <t>NETPERD12</t>
  </si>
  <si>
    <t>110002000</t>
  </si>
  <si>
    <t>1</t>
  </si>
  <si>
    <t>USD</t>
  </si>
  <si>
    <t>F</t>
  </si>
  <si>
    <t>110502000</t>
  </si>
  <si>
    <t>130002000</t>
  </si>
  <si>
    <t>130502000</t>
  </si>
  <si>
    <t>210002000</t>
  </si>
  <si>
    <t>240002000</t>
  </si>
  <si>
    <t>310102000</t>
  </si>
  <si>
    <t>332302000</t>
  </si>
  <si>
    <t>410002000</t>
  </si>
  <si>
    <t>420002000</t>
  </si>
  <si>
    <t>430002000</t>
  </si>
  <si>
    <t>431502000</t>
  </si>
  <si>
    <t>440002000</t>
  </si>
  <si>
    <t>443002000</t>
  </si>
  <si>
    <t>520002000</t>
  </si>
  <si>
    <t>521002000</t>
  </si>
  <si>
    <t>530002000</t>
  </si>
  <si>
    <t>540002000</t>
  </si>
  <si>
    <t>550002000</t>
  </si>
  <si>
    <t>550502000</t>
  </si>
  <si>
    <t>560002000</t>
  </si>
  <si>
    <t>560102000</t>
  </si>
  <si>
    <t>560502000</t>
  </si>
  <si>
    <t>561002000</t>
  </si>
  <si>
    <t>580002000</t>
  </si>
  <si>
    <t>580302000</t>
  </si>
  <si>
    <t>580502000</t>
  </si>
  <si>
    <t>581002000</t>
  </si>
  <si>
    <t>581502000</t>
  </si>
  <si>
    <t>589002000</t>
  </si>
  <si>
    <t>590002000</t>
  </si>
  <si>
    <t>690002000</t>
  </si>
  <si>
    <t>701002000</t>
  </si>
  <si>
    <t>809602000</t>
  </si>
  <si>
    <t>859102000</t>
  </si>
  <si>
    <t>898502000</t>
  </si>
  <si>
    <t>331302000</t>
  </si>
  <si>
    <t>340302000</t>
  </si>
  <si>
    <t>350302000</t>
  </si>
  <si>
    <t>360302000</t>
  </si>
  <si>
    <t>Directions:</t>
  </si>
  <si>
    <t>Once this tab is ready (see series check below), right click on the tab, choose "Move or Copy", check the box "create a copy", move to a "(new book)"</t>
  </si>
  <si>
    <t>2014-15</t>
  </si>
  <si>
    <t>2015-16</t>
  </si>
  <si>
    <t>2016-17</t>
  </si>
  <si>
    <t>per current year ADA</t>
  </si>
  <si>
    <t>Assumed revenue rate increase over previous year:</t>
  </si>
  <si>
    <t>if applicable, source: CSDC</t>
  </si>
  <si>
    <t>Revenue Rates</t>
  </si>
  <si>
    <t>By default, the below %s are equal to the previous year's %s.  Feel free to overwrite</t>
  </si>
  <si>
    <t>Please ensure you update the "Additional items…" section at the very bottom and the corresponding $ amounts at the very bottom of each year's "Cash Flow $s" tab (e.g. loan principal payable line)</t>
  </si>
  <si>
    <t>Ending Balance</t>
  </si>
  <si>
    <t>possible formula, uses 12-13 rates, 185 days, all eligible kids take food</t>
  </si>
  <si>
    <t>state food formula, just copy to cell D18:</t>
  </si>
  <si>
    <t>per prior year Free/Reduced price lunch enrollment</t>
  </si>
  <si>
    <t>= Salary increase</t>
  </si>
  <si>
    <t>federal food formula, just copy to cell D26:</t>
  </si>
  <si>
    <t>3313</t>
  </si>
  <si>
    <t>OASDI</t>
  </si>
  <si>
    <t>3323</t>
  </si>
  <si>
    <t>Medicare</t>
  </si>
  <si>
    <t>= OASDI employer rate</t>
  </si>
  <si>
    <t>Health and Welfare</t>
  </si>
  <si>
    <t>SUI</t>
  </si>
  <si>
    <t>Workers' Comp</t>
  </si>
  <si>
    <t>3903</t>
  </si>
  <si>
    <t>3703</t>
  </si>
  <si>
    <t>Other Post Employment Benefits</t>
  </si>
  <si>
    <t>= possible formula for STD, GTL, LTD, AD&amp;D</t>
  </si>
  <si>
    <t>Other Post Employement Benefits</t>
  </si>
  <si>
    <t>Other Benefits</t>
  </si>
  <si>
    <t>Food and Food Supplies</t>
  </si>
  <si>
    <t>Student Transportation / Field Trips</t>
  </si>
  <si>
    <t>5602</t>
  </si>
  <si>
    <t>Other Space Rental</t>
  </si>
  <si>
    <t>Legal Services and Audit</t>
  </si>
  <si>
    <t>5999</t>
  </si>
  <si>
    <t>Expense Suspense</t>
  </si>
  <si>
    <t>8299</t>
  </si>
  <si>
    <t>Prior Year Federal Revenue</t>
  </si>
  <si>
    <t>Supplemental Instruction</t>
  </si>
  <si>
    <t>8599</t>
  </si>
  <si>
    <t>Prior Year State Income</t>
  </si>
  <si>
    <t>All Other Local Revenue</t>
  </si>
  <si>
    <t>8989</t>
  </si>
  <si>
    <t>8999</t>
  </si>
  <si>
    <t>Revenue Suspense</t>
  </si>
  <si>
    <t>Restriction Codes:</t>
  </si>
  <si>
    <t>01 - Title I</t>
  </si>
  <si>
    <t>02 - Title II</t>
  </si>
  <si>
    <t>03 - Title III</t>
  </si>
  <si>
    <t>04 - Title IV</t>
  </si>
  <si>
    <t>05 - Title V</t>
  </si>
  <si>
    <t>65 - SPED</t>
  </si>
  <si>
    <t>61 - ASES</t>
  </si>
  <si>
    <t>OASDI 6.2% of 106,800</t>
  </si>
  <si>
    <t>Medicare  1.45%</t>
  </si>
  <si>
    <t>All Employer contributions for Health and welfare</t>
  </si>
  <si>
    <t>All employer contributions for State Unemployment Insurance including experience charges</t>
  </si>
  <si>
    <t>All Employer contributions for Worker Compensation Insurance</t>
  </si>
  <si>
    <t>Other Employee Benefits</t>
  </si>
  <si>
    <t>Employer 403b contributions</t>
  </si>
  <si>
    <t xml:space="preserve">Includes all testing and exam supplies </t>
  </si>
  <si>
    <t>Includes printing and copying expense, custodial supplies, any noninstructional supplies, food purchased for staff training, t shirts</t>
  </si>
  <si>
    <t xml:space="preserve">Use for Noncapitalized equipment other than student related </t>
  </si>
  <si>
    <t>Noncapitalized Student Equipment</t>
  </si>
  <si>
    <t>Change to Noncapitalized Student Equipment (band, uniforms, atheletic, arts) Items that are useful for more than one year but below the 2500 capitalization threshhold</t>
  </si>
  <si>
    <t>Includes ONLY NSLP related expenses</t>
  </si>
  <si>
    <t>Includes Auto Mileage and Parking, hotel reimbursements, airfare, taxis, food while out of town</t>
  </si>
  <si>
    <t>Would include all publications as well</t>
  </si>
  <si>
    <t>All Insurance except employee benefits</t>
  </si>
  <si>
    <t>Operation and Housekeeping Services</t>
  </si>
  <si>
    <t>Include Security Services, Transportation repair</t>
  </si>
  <si>
    <t xml:space="preserve">Would include electricity, water, heating. </t>
  </si>
  <si>
    <t>Student Transportation/Field Trips</t>
  </si>
  <si>
    <t>Student Field Trip expenses</t>
  </si>
  <si>
    <t>Only building rents</t>
  </si>
  <si>
    <t>Services only…supplies should be 4300</t>
  </si>
  <si>
    <t>Would include short term rentals such as sports fields, graduation/event hall</t>
  </si>
  <si>
    <t>Includes transportation repair</t>
  </si>
  <si>
    <t>would include all non instructional services except legal and audit and banking and payroll; e.g. djay for student dance, photographer</t>
  </si>
  <si>
    <t>Advertising/Recruiting</t>
  </si>
  <si>
    <t>Livescan; all recruiting for students and employees</t>
  </si>
  <si>
    <t>All expenses for school fundraisers</t>
  </si>
  <si>
    <t>Interest expense/fees</t>
  </si>
  <si>
    <t>For all interest except on long term debt</t>
  </si>
  <si>
    <t>New account for fees related to Charter school Capital…the factoring and the program fees</t>
  </si>
  <si>
    <t>CMO Management Fees</t>
  </si>
  <si>
    <t>New Account on Multi schools</t>
  </si>
  <si>
    <t>Includes all postage and all messenger services as well as telephone</t>
  </si>
  <si>
    <t>New account holding items for which we have no documentation</t>
  </si>
  <si>
    <t>Only for long term debts</t>
  </si>
  <si>
    <t>Prior Year Income/Adjustments</t>
  </si>
  <si>
    <t>Only prior year General Purpose and In lieu</t>
  </si>
  <si>
    <t>would include Charter School Facility INCENTIVE Grants (monthly installments) and 21st Century after school</t>
  </si>
  <si>
    <t xml:space="preserve">with restriction 01 </t>
  </si>
  <si>
    <t>with restriction 02</t>
  </si>
  <si>
    <t>with restriction 03</t>
  </si>
  <si>
    <t>with restriction 04</t>
  </si>
  <si>
    <t>with restriction 05 would include Public Charter School Grant Program</t>
  </si>
  <si>
    <t>New Account Would contain any federal revenues from prior years</t>
  </si>
  <si>
    <t>New Account would contain Retained and Recommended, Low Star, Core Subject, Risk of Failing, Supplemental Categorical for New Schools</t>
  </si>
  <si>
    <t>Class Size Reduction, Grades K-3</t>
  </si>
  <si>
    <t>Includes State ASES with restriction 61</t>
  </si>
  <si>
    <t>SB 740</t>
  </si>
  <si>
    <t>Do not include the amounts for Charter School Finance Incentive Grants which are federal</t>
  </si>
  <si>
    <t>Arts and Music Block Grant</t>
  </si>
  <si>
    <t>New Account</t>
  </si>
  <si>
    <t>New Account all prior year state except General Purpose and in lieu which is 8019</t>
  </si>
  <si>
    <t>Inactivate</t>
  </si>
  <si>
    <t>SPED state/Transfers of Apportionments from County Offices</t>
  </si>
  <si>
    <t>Non Federal SPED</t>
  </si>
  <si>
    <t>Would be fees charged between CMO and schools</t>
  </si>
  <si>
    <t>Foundation Grants/Donations</t>
  </si>
  <si>
    <t>All other Local Revenue</t>
  </si>
  <si>
    <t>Includes contributions for field trips, parent payments for childcare/afterschool, prop tax refunds, workers comp refunds related to prior year expense.</t>
  </si>
  <si>
    <t>Would include any contributions and revenues from fundraisers</t>
  </si>
  <si>
    <t>Would include any receipts from the use of their building by community groups</t>
  </si>
  <si>
    <t>CSC Sale of Future Revenue Streams</t>
  </si>
  <si>
    <t>New Account holding revenue items for which we have no documentation</t>
  </si>
  <si>
    <t>Cash account descriptions can vary; generally we start with 9120 and as they open and close we can change accounts</t>
  </si>
  <si>
    <t>Cash in County Treasury</t>
  </si>
  <si>
    <t>USE ONLY FOR OCCASIONAL checks….do not charge entire payrolls here!!!!!</t>
  </si>
  <si>
    <t>9415</t>
  </si>
  <si>
    <t>Land Improvements</t>
  </si>
  <si>
    <t>9506</t>
  </si>
  <si>
    <t>Credit Card Payable</t>
  </si>
  <si>
    <t>Should agree to balance due on Credit Card statements</t>
  </si>
  <si>
    <t>Set up Loans payable for each loan</t>
  </si>
  <si>
    <t>4000-4999 are for books and supplies</t>
  </si>
  <si>
    <t>5000-5999 are for services and other operating expenditures</t>
  </si>
  <si>
    <t>Personnel Object Code Guidance - CSAM</t>
  </si>
  <si>
    <t>Code</t>
  </si>
  <si>
    <t>Description</t>
  </si>
  <si>
    <t>Teachers</t>
  </si>
  <si>
    <t>Teachers - Home &amp; Hospital</t>
  </si>
  <si>
    <t>Special Ed Resource Specialist</t>
  </si>
  <si>
    <t>Special Ed Resource Teachers</t>
  </si>
  <si>
    <t>Teachers - Pull Out Basis</t>
  </si>
  <si>
    <t>Librarian</t>
  </si>
  <si>
    <t>Social Worker</t>
  </si>
  <si>
    <t>Psychologists</t>
  </si>
  <si>
    <t>Counselors</t>
  </si>
  <si>
    <t>Nurses</t>
  </si>
  <si>
    <t>Audiometrists</t>
  </si>
  <si>
    <t>Principals</t>
  </si>
  <si>
    <t>Administrative Deans</t>
  </si>
  <si>
    <t>Instructional Supervisors</t>
  </si>
  <si>
    <t>Coordinators</t>
  </si>
  <si>
    <t>Directors</t>
  </si>
  <si>
    <t>Certificated Assistants (whether or not they supervise)</t>
  </si>
  <si>
    <t>Superintendents</t>
  </si>
  <si>
    <t>Other Certificated Staff who are not 1100, 1200 or 1300.</t>
  </si>
  <si>
    <t>Resource Teachers not performing classroom duties</t>
  </si>
  <si>
    <t>Special Education Specialists</t>
  </si>
  <si>
    <t>Other Program Specialists</t>
  </si>
  <si>
    <t>Cannot be used for instructional staff</t>
  </si>
  <si>
    <t>Instructional Aides</t>
  </si>
  <si>
    <t>Non-Certificated Charter School Teachers</t>
  </si>
  <si>
    <t>Non-Certificated Instructional Personnel</t>
  </si>
  <si>
    <t>Coaches</t>
  </si>
  <si>
    <t>Tutors</t>
  </si>
  <si>
    <t>Drug/Alcohol Program Mentors</t>
  </si>
  <si>
    <t>Library Aide</t>
  </si>
  <si>
    <t>Media Aide</t>
  </si>
  <si>
    <t>Counselor Aide</t>
  </si>
  <si>
    <t>Health Aide</t>
  </si>
  <si>
    <t>Bus Drivers / Mechanics / Other Transportation Personnel</t>
  </si>
  <si>
    <t>Food Service Personnel</t>
  </si>
  <si>
    <t>Business Managers</t>
  </si>
  <si>
    <t>Controllers</t>
  </si>
  <si>
    <t>Site Administrators</t>
  </si>
  <si>
    <t>Stipends for Board Members</t>
  </si>
  <si>
    <t>Non-Certificated Superintendents, Assistant Superintendents</t>
  </si>
  <si>
    <t>Clerks</t>
  </si>
  <si>
    <t>Secretaries</t>
  </si>
  <si>
    <t>Accountants</t>
  </si>
  <si>
    <t>Bookkeepers</t>
  </si>
  <si>
    <t>Programmers</t>
  </si>
  <si>
    <t>Computer Technical Support</t>
  </si>
  <si>
    <t>Machine Operators</t>
  </si>
  <si>
    <t>Computer Operators</t>
  </si>
  <si>
    <t>Classified not in 2100 - 2400 codes</t>
  </si>
  <si>
    <t>Noon Supervision Personnel</t>
  </si>
  <si>
    <t>Building Inspectors</t>
  </si>
  <si>
    <t>Work Experience Students</t>
  </si>
  <si>
    <t>Loan / Charter School Revolving Loan Repayment (Principal)</t>
  </si>
  <si>
    <t>check for applicability</t>
  </si>
  <si>
    <t>estimate based on January 2013 Governor's budget</t>
  </si>
  <si>
    <t>2017-18</t>
  </si>
  <si>
    <t>SSC 3/14</t>
  </si>
  <si>
    <t>LOCAL CONTROL FUNDING FORMULA - CHARTER FUNDING MODEL</t>
  </si>
  <si>
    <t>Target</t>
  </si>
  <si>
    <t>K-3</t>
  </si>
  <si>
    <t>4-6</t>
  </si>
  <si>
    <t>7-8</t>
  </si>
  <si>
    <t>9-12</t>
  </si>
  <si>
    <t>Current ADA</t>
  </si>
  <si>
    <t>CBEDS Enrollment (All Grades)</t>
  </si>
  <si>
    <t>Before P1, use PY enrollment</t>
  </si>
  <si>
    <t>Starting in FY15, this evolves to a 3 year TOTAL</t>
  </si>
  <si>
    <t>Unduplicated FRL/EL (All Grades)</t>
  </si>
  <si>
    <t>Before P1, use PY unduplicated count</t>
  </si>
  <si>
    <t>If FRL/EL/Foster undup &gt; 50%, enter resident district percentage here</t>
  </si>
  <si>
    <t>Base Funding Rates</t>
  </si>
  <si>
    <t>Adjust for COLA</t>
  </si>
  <si>
    <t>Adjusted Base Funding Rates</t>
  </si>
  <si>
    <t>x Current Year ADA</t>
  </si>
  <si>
    <t>Gradespan add ons</t>
  </si>
  <si>
    <t>Sub-Total with Add-Ons</t>
  </si>
  <si>
    <t>Supplemental Rate</t>
  </si>
  <si>
    <t>Students Eligible</t>
  </si>
  <si>
    <t>Supplemental Add</t>
  </si>
  <si>
    <t>Concentration Rate</t>
  </si>
  <si>
    <t>Concentration Add</t>
  </si>
  <si>
    <t>TIIG (2012-13)</t>
  </si>
  <si>
    <t>Home to School Trans (2012-13)</t>
  </si>
  <si>
    <t>Total Target</t>
  </si>
  <si>
    <t>LCFF Target per CY ADA</t>
  </si>
  <si>
    <t>Economic Recovery Target</t>
  </si>
  <si>
    <t>2012-13 General Purpose Block Grant</t>
  </si>
  <si>
    <t>2012-13 ADA</t>
  </si>
  <si>
    <t>Current Year COLA</t>
  </si>
  <si>
    <t>1.565% in 2013-14</t>
  </si>
  <si>
    <t>For years after 13-14, this increases by 1.94% per year</t>
  </si>
  <si>
    <t>2012-13 Deficit Factor</t>
  </si>
  <si>
    <t>2012-13 GPBG Fully Funded with COLA</t>
  </si>
  <si>
    <t>Categorical Funding Sources 2012-13 (Exclude New Schools In Lieu of Categorical)</t>
  </si>
  <si>
    <t>Amount Received</t>
  </si>
  <si>
    <t>Reduction Applied</t>
  </si>
  <si>
    <t>Amt if Fully Funded</t>
  </si>
  <si>
    <t>Categorical Block Grant (excluding EIA)</t>
  </si>
  <si>
    <t>EIA Add-on to CategoricalBlock</t>
  </si>
  <si>
    <t>K-3 CSR</t>
  </si>
  <si>
    <t>Arts &amp; Music</t>
  </si>
  <si>
    <t>CAHSEE Intervention</t>
  </si>
  <si>
    <t>supplemental instruction</t>
  </si>
  <si>
    <t>Middle/HS Supplemental Counseling</t>
  </si>
  <si>
    <t>BTSA</t>
  </si>
  <si>
    <t>PE Incentive</t>
  </si>
  <si>
    <t xml:space="preserve">Other:  </t>
  </si>
  <si>
    <t>2012-13 Categoricals at Full Funding</t>
  </si>
  <si>
    <t>Fully Funded Economic Recovery Target</t>
  </si>
  <si>
    <t>ERT per 2012-13 ADA</t>
  </si>
  <si>
    <t>Eligible for ERT Add-on?</t>
  </si>
  <si>
    <t>Implementation Year (2013-14 = 1)</t>
  </si>
  <si>
    <t>Economic Recovery Target Adjustment per ADA</t>
  </si>
  <si>
    <t>Base Entitlement</t>
  </si>
  <si>
    <t>FOR FIRST YEAR OF OPERATION ONLY AFTER 2012-13</t>
  </si>
  <si>
    <t>If school opened after 6/30/2013, enter resident district prior year per ADA amount here:</t>
  </si>
  <si>
    <t>Adjust for current COLA</t>
  </si>
  <si>
    <t>Multiply times current year FTE</t>
  </si>
  <si>
    <t>New School Base Entitlement</t>
  </si>
  <si>
    <t>If New School Base Entitlement provided, skip remainder of this section</t>
  </si>
  <si>
    <t>2012-13 General Purpose Block Grant (incl in lieu prop &amp; EPA)</t>
  </si>
  <si>
    <t xml:space="preserve">2012-13 Categorical Block </t>
  </si>
  <si>
    <t>2012-13 Categorical Block - EIA</t>
  </si>
  <si>
    <t>Total GPBG &amp; Categorical Block</t>
  </si>
  <si>
    <t>Divide by 2012-13 ADA</t>
  </si>
  <si>
    <t>Multiply by Current ADA</t>
  </si>
  <si>
    <t>Tier III Categorical Funding at 2012-13 Level</t>
  </si>
  <si>
    <t>Total of Base Entitlement</t>
  </si>
  <si>
    <t>Target Entitlement from Above</t>
  </si>
  <si>
    <t>LEA Need (Target - Base)</t>
  </si>
  <si>
    <t>Percentage of LCFF Implementation Complete</t>
  </si>
  <si>
    <t>Transition Adjustment</t>
  </si>
  <si>
    <t>Total LCFF Funding  (Base + Transition + Economic Recovery)</t>
  </si>
  <si>
    <t>Base with Growth 2013-14</t>
  </si>
  <si>
    <t>Supplement Portion of 2013-14 Funding</t>
  </si>
  <si>
    <t>ADA</t>
  </si>
  <si>
    <t>Per ADA</t>
  </si>
  <si>
    <t>2012-13 Funding (including categorical funds)</t>
  </si>
  <si>
    <t>2013-14 Funding (LCFF Total Funding)</t>
  </si>
  <si>
    <t>Change in Funding</t>
  </si>
  <si>
    <t>As estimate, FRPM + 10% EL</t>
  </si>
  <si>
    <t>LCFF for all grades; state aid portion</t>
  </si>
  <si>
    <t>LCFF for all grades; EPA portion</t>
  </si>
  <si>
    <t>Initial rate and rate increase source (unless noted): School Services July 2013 charter school dartboard</t>
  </si>
  <si>
    <t>see LCFF calculation tab, minus EPA and property tax components</t>
  </si>
  <si>
    <t>% of LCFF delivered via EPA / Prop 30 taxes</t>
  </si>
  <si>
    <t>SSC July 13 dartboard</t>
  </si>
  <si>
    <t>Assumed CPI over previous year, source: School Services July 2013 dashboard, CA CPI</t>
  </si>
  <si>
    <t>put in actuals</t>
  </si>
  <si>
    <t>In-Lieu of Property Taxes, all grades</t>
  </si>
  <si>
    <t>8012</t>
  </si>
  <si>
    <t>801202030</t>
  </si>
  <si>
    <t>per ADA</t>
  </si>
  <si>
    <t>Fees for Service</t>
  </si>
  <si>
    <t>Beginning Fund Balance</t>
  </si>
  <si>
    <t>STRS</t>
  </si>
  <si>
    <t xml:space="preserve">Debt </t>
  </si>
  <si>
    <t>Education</t>
  </si>
  <si>
    <t>560202000</t>
  </si>
  <si>
    <t>801102000</t>
  </si>
  <si>
    <t>2018-19</t>
  </si>
  <si>
    <t>See FCMAT LCFF Calculator</t>
  </si>
  <si>
    <t>Special Ed - AB 602</t>
  </si>
  <si>
    <t>Mandate Block Grant</t>
  </si>
  <si>
    <t>Other Enrollment (CTC)</t>
  </si>
  <si>
    <t>5875</t>
  </si>
  <si>
    <t>587502000</t>
  </si>
  <si>
    <t>856002022</t>
  </si>
  <si>
    <t>110002030</t>
  </si>
  <si>
    <t>.</t>
  </si>
  <si>
    <t>As a % of LCFF Revenue</t>
  </si>
  <si>
    <t>Total Personnel Expense</t>
  </si>
  <si>
    <t>In-Lieu</t>
  </si>
  <si>
    <t>Allowance /</t>
  </si>
  <si>
    <t>1205</t>
  </si>
  <si>
    <t>Certificated Pupil Support Bonuses</t>
  </si>
  <si>
    <t>Five Year Budget, 2015-16 to 2019-20</t>
  </si>
  <si>
    <t>2019-20</t>
  </si>
  <si>
    <t>Three Rivers Charter School</t>
  </si>
  <si>
    <t>Kathleen Kasperson</t>
  </si>
  <si>
    <t>Teacher</t>
  </si>
  <si>
    <t>Roger Coy</t>
  </si>
  <si>
    <t>Samantha Walz</t>
  </si>
  <si>
    <t>Kim Morgan</t>
  </si>
  <si>
    <t>School Director</t>
  </si>
  <si>
    <t>Support</t>
  </si>
  <si>
    <t>Instructional Aide #1</t>
  </si>
  <si>
    <t>Jen Wright</t>
  </si>
  <si>
    <t>Instructional Aide #2</t>
  </si>
  <si>
    <t>Marcia Mollett</t>
  </si>
  <si>
    <t>Arial Pons</t>
  </si>
  <si>
    <t>Instructional Aide</t>
  </si>
  <si>
    <t/>
  </si>
  <si>
    <t>Sarah Haye</t>
  </si>
  <si>
    <t>After School</t>
  </si>
  <si>
    <t>582002000</t>
  </si>
  <si>
    <t>855002000</t>
  </si>
  <si>
    <t>866002000</t>
  </si>
  <si>
    <t>2016</t>
  </si>
  <si>
    <t>Educator Effectiveness</t>
  </si>
  <si>
    <t>One Time Block Grant</t>
  </si>
  <si>
    <t>Natalie Shoptaw</t>
  </si>
  <si>
    <t>Maragret Normoyle</t>
  </si>
  <si>
    <t>Robin Scaramella</t>
  </si>
  <si>
    <t>Brie Goertzen</t>
  </si>
  <si>
    <t>859002000</t>
  </si>
  <si>
    <t>Unduplicated Count</t>
  </si>
  <si>
    <t>3-4 Aide</t>
  </si>
  <si>
    <t>7-12 Aide</t>
  </si>
  <si>
    <t>5-6 Aide</t>
  </si>
  <si>
    <t>Bre Goetson</t>
  </si>
  <si>
    <t>Cyndi Channel</t>
  </si>
  <si>
    <t>Music 1</t>
  </si>
  <si>
    <t>Music 2</t>
  </si>
  <si>
    <t>Music 3</t>
  </si>
  <si>
    <t>Music 4</t>
  </si>
  <si>
    <t>Tutor</t>
  </si>
  <si>
    <t>Subs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</si>
</sst>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_(* #,##0.0_);_(* \(#,##0.0\);_(* &quot;-&quot;??_);_(@_)"/>
    <numFmt numFmtId="171" formatCode="_(* #,##0_);_(* \(#,##0\);_(* &quot;-&quot;??_);_(@_)"/>
    <numFmt numFmtId="172" formatCode="_(&quot;$&quot;* #,##0_);_(&quot;$&quot;* \(#,##0\);_(&quot;$&quot;* &quot;-&quot;??_);_(@_)"/>
    <numFmt numFmtId="173" formatCode="0.00000"/>
    <numFmt numFmtId="174" formatCode="0.0000%"/>
    <numFmt numFmtId="175" formatCode="0.000%"/>
  </numFmts>
  <fonts count="54" x14ac:knownFonts="1">
    <font>
      <sz val="11"/>
      <color theme="1"/>
      <name val="Calibri"/>
      <family val="2"/>
      <scheme val="minor"/>
    </font>
    <font>
      <sz val="11"/>
      <color theme="1"/>
      <name val="Calibri"/>
      <family val="2"/>
      <scheme val="minor"/>
    </font>
    <font>
      <sz val="10"/>
      <name val="MS Sans Serif"/>
      <family val="2"/>
    </font>
    <font>
      <sz val="12"/>
      <name val="Times New Roman"/>
      <family val="1"/>
    </font>
    <font>
      <b/>
      <sz val="12"/>
      <name val="Times New Roman"/>
      <family val="1"/>
    </font>
    <font>
      <sz val="12"/>
      <color theme="1"/>
      <name val="Times New Roman"/>
      <family val="1"/>
    </font>
    <font>
      <sz val="12"/>
      <color rgb="FFFF0000"/>
      <name val="Times New Roman"/>
      <family val="1"/>
    </font>
    <font>
      <b/>
      <sz val="12"/>
      <color theme="1"/>
      <name val="Times New Roman"/>
      <family val="1"/>
    </font>
    <font>
      <b/>
      <sz val="16"/>
      <color rgb="FFFF0000"/>
      <name val="Times New Roman"/>
      <family val="1"/>
    </font>
    <font>
      <b/>
      <sz val="14"/>
      <color theme="1"/>
      <name val="Times New Roman"/>
      <family val="1"/>
    </font>
    <font>
      <b/>
      <sz val="16"/>
      <name val="Times New Roman"/>
      <family val="1"/>
    </font>
    <font>
      <b/>
      <sz val="14"/>
      <name val="Times New Roman"/>
      <family val="1"/>
    </font>
    <font>
      <sz val="9"/>
      <color indexed="81"/>
      <name val="Tahoma"/>
      <family val="2"/>
    </font>
    <font>
      <b/>
      <sz val="9"/>
      <color indexed="81"/>
      <name val="Tahoma"/>
      <family val="2"/>
    </font>
    <font>
      <b/>
      <sz val="14"/>
      <color rgb="FFFF0000"/>
      <name val="Times New Roman"/>
      <family val="1"/>
    </font>
    <font>
      <b/>
      <sz val="12"/>
      <color indexed="8"/>
      <name val="Times New Roman"/>
      <family val="1"/>
    </font>
    <font>
      <sz val="12"/>
      <color indexed="8"/>
      <name val="Times New Roman"/>
      <family val="1"/>
    </font>
    <font>
      <b/>
      <sz val="14"/>
      <color indexed="8"/>
      <name val="Times New Roman"/>
      <family val="1"/>
    </font>
    <font>
      <b/>
      <sz val="12"/>
      <color rgb="FFFF0000"/>
      <name val="Times New Roman"/>
      <family val="1"/>
    </font>
    <font>
      <sz val="12"/>
      <color indexed="10"/>
      <name val="Times New Roman"/>
      <family val="1"/>
    </font>
    <font>
      <b/>
      <u/>
      <sz val="12"/>
      <name val="Times New Roman"/>
      <family val="1"/>
    </font>
    <font>
      <sz val="10"/>
      <name val="MS Sans Serif"/>
      <family val="2"/>
    </font>
    <font>
      <sz val="10"/>
      <color rgb="FFFF0000"/>
      <name val="MS Sans Serif"/>
      <family val="2"/>
    </font>
    <font>
      <sz val="10"/>
      <color theme="1"/>
      <name val="MS Sans Serif"/>
      <family val="2"/>
    </font>
    <font>
      <b/>
      <u/>
      <sz val="10"/>
      <name val="MS Sans Serif"/>
      <family val="2"/>
    </font>
    <font>
      <b/>
      <sz val="11"/>
      <color theme="1"/>
      <name val="Calibri"/>
      <family val="2"/>
    </font>
    <font>
      <b/>
      <sz val="9"/>
      <color theme="1"/>
      <name val="Calibri"/>
      <family val="2"/>
      <scheme val="minor"/>
    </font>
    <font>
      <b/>
      <sz val="9"/>
      <color theme="1"/>
      <name val="Calibri"/>
      <family val="2"/>
    </font>
    <font>
      <b/>
      <i/>
      <sz val="9"/>
      <color theme="1"/>
      <name val="Calibri"/>
      <family val="2"/>
    </font>
    <font>
      <sz val="8"/>
      <color rgb="FFFF0000"/>
      <name val="Times New Roman"/>
      <family val="1"/>
    </font>
    <font>
      <b/>
      <sz val="11"/>
      <color theme="1"/>
      <name val="Calibri"/>
      <family val="2"/>
      <scheme val="minor"/>
    </font>
    <font>
      <sz val="10"/>
      <name val="Arial"/>
      <family val="2"/>
    </font>
    <font>
      <b/>
      <sz val="14"/>
      <color theme="1"/>
      <name val="Calibri"/>
      <family val="2"/>
      <scheme val="minor"/>
    </font>
    <font>
      <b/>
      <sz val="10"/>
      <name val="Arial"/>
      <family val="2"/>
    </font>
    <font>
      <sz val="9"/>
      <color theme="1"/>
      <name val="Calibri"/>
      <family val="2"/>
      <scheme val="min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sz val="8"/>
      <color indexed="8"/>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b/>
      <sz val="10"/>
      <name val="MS Sans Serif"/>
      <family val="2"/>
    </font>
    <font>
      <i/>
      <sz val="11"/>
      <name val="Times New Roman"/>
      <family val="1"/>
    </font>
    <font>
      <b/>
      <i/>
      <sz val="11"/>
      <name val="Times New Roman"/>
      <family val="1"/>
    </font>
    <font>
      <b/>
      <i/>
      <sz val="11"/>
      <color theme="1"/>
      <name val="Calibri"/>
      <family val="2"/>
      <scheme val="minor"/>
    </font>
  </fonts>
  <fills count="39">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theme="0"/>
        <bgColor indexed="64"/>
      </patternFill>
    </fill>
  </fills>
  <borders count="27">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s>
  <cellStyleXfs count="297">
    <xf numFmtId="0" fontId="0" fillId="0" borderId="0"/>
    <xf numFmtId="168"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2" fillId="0" borderId="0"/>
    <xf numFmtId="0" fontId="21" fillId="0" borderId="0"/>
    <xf numFmtId="0" fontId="31" fillId="0" borderId="0"/>
    <xf numFmtId="168" fontId="31" fillId="0" borderId="0" applyFont="0" applyFill="0" applyBorder="0" applyAlignment="0" applyProtection="0"/>
    <xf numFmtId="167" fontId="31" fillId="0" borderId="0" applyFont="0" applyFill="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8" fillId="8" borderId="13" applyNumberFormat="0" applyAlignment="0" applyProtection="0"/>
    <xf numFmtId="0" fontId="38" fillId="8" borderId="13" applyNumberFormat="0" applyAlignment="0" applyProtection="0"/>
    <xf numFmtId="0" fontId="38" fillId="8" borderId="13" applyNumberFormat="0" applyAlignment="0" applyProtection="0"/>
    <xf numFmtId="0" fontId="38" fillId="8" borderId="13" applyNumberFormat="0" applyAlignment="0" applyProtection="0"/>
    <xf numFmtId="0" fontId="38" fillId="8" borderId="13" applyNumberFormat="0" applyAlignment="0" applyProtection="0"/>
    <xf numFmtId="0" fontId="38" fillId="8" borderId="13" applyNumberFormat="0" applyAlignment="0" applyProtection="0"/>
    <xf numFmtId="0" fontId="39" fillId="9" borderId="16" applyNumberFormat="0" applyAlignment="0" applyProtection="0"/>
    <xf numFmtId="0" fontId="39" fillId="9" borderId="16" applyNumberFormat="0" applyAlignment="0" applyProtection="0"/>
    <xf numFmtId="0" fontId="39" fillId="9" borderId="16" applyNumberFormat="0" applyAlignment="0" applyProtection="0"/>
    <xf numFmtId="0" fontId="39" fillId="9" borderId="16" applyNumberFormat="0" applyAlignment="0" applyProtection="0"/>
    <xf numFmtId="0" fontId="39" fillId="9" borderId="16" applyNumberFormat="0" applyAlignment="0" applyProtection="0"/>
    <xf numFmtId="0" fontId="39" fillId="9" borderId="16" applyNumberFormat="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35" fillId="0" borderId="0"/>
    <xf numFmtId="0" fontId="35" fillId="0" borderId="0"/>
    <xf numFmtId="0" fontId="35" fillId="0" borderId="0"/>
    <xf numFmtId="0" fontId="1" fillId="0" borderId="0"/>
    <xf numFmtId="0" fontId="40" fillId="10" borderId="17" applyNumberFormat="0" applyFont="0" applyAlignment="0" applyProtection="0"/>
    <xf numFmtId="0" fontId="40" fillId="10" borderId="17" applyNumberFormat="0" applyFont="0" applyAlignment="0" applyProtection="0"/>
    <xf numFmtId="0" fontId="40" fillId="10" borderId="17" applyNumberFormat="0" applyFont="0" applyAlignment="0" applyProtection="0"/>
    <xf numFmtId="0" fontId="40" fillId="10" borderId="17" applyNumberFormat="0" applyFont="0" applyAlignment="0" applyProtection="0"/>
    <xf numFmtId="0" fontId="40" fillId="10" borderId="17" applyNumberFormat="0" applyFont="0" applyAlignment="0" applyProtection="0"/>
    <xf numFmtId="0" fontId="40" fillId="10" borderId="17" applyNumberFormat="0" applyFont="0" applyAlignment="0" applyProtection="0"/>
    <xf numFmtId="0" fontId="35" fillId="10" borderId="17" applyNumberFormat="0" applyFon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0" fontId="47" fillId="8" borderId="14"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60">
    <xf numFmtId="0" fontId="0" fillId="0" borderId="0" xfId="0"/>
    <xf numFmtId="0" fontId="3" fillId="0" borderId="0" xfId="4" applyFont="1"/>
    <xf numFmtId="0" fontId="3" fillId="0" borderId="0" xfId="4" applyNumberFormat="1" applyFont="1"/>
    <xf numFmtId="0" fontId="3" fillId="0" borderId="0" xfId="4" quotePrefix="1" applyNumberFormat="1" applyFont="1"/>
    <xf numFmtId="14" fontId="3" fillId="0" borderId="0" xfId="4" applyNumberFormat="1" applyFont="1"/>
    <xf numFmtId="0" fontId="4" fillId="2" borderId="0" xfId="0" applyFont="1" applyFill="1" applyBorder="1" applyAlignment="1">
      <alignment horizontal="left"/>
    </xf>
    <xf numFmtId="0" fontId="5" fillId="0" borderId="0" xfId="0" applyFont="1"/>
    <xf numFmtId="0" fontId="6" fillId="0" borderId="0" xfId="0" applyFont="1"/>
    <xf numFmtId="10" fontId="6" fillId="0" borderId="0" xfId="3" applyNumberFormat="1" applyFont="1"/>
    <xf numFmtId="0" fontId="5" fillId="0" borderId="0" xfId="0" quotePrefix="1" applyFont="1"/>
    <xf numFmtId="168" fontId="5" fillId="0" borderId="0" xfId="1" applyFont="1"/>
    <xf numFmtId="168" fontId="6" fillId="0" borderId="0" xfId="1" applyFont="1"/>
    <xf numFmtId="168" fontId="5" fillId="0" borderId="0" xfId="0" applyNumberFormat="1" applyFont="1"/>
    <xf numFmtId="0" fontId="6" fillId="0" borderId="0" xfId="0" applyFont="1" applyAlignment="1">
      <alignment horizontal="center"/>
    </xf>
    <xf numFmtId="0" fontId="6" fillId="0" borderId="0" xfId="1" applyNumberFormat="1" applyFont="1" applyAlignment="1">
      <alignment horizontal="center"/>
    </xf>
    <xf numFmtId="168" fontId="6" fillId="0" borderId="0" xfId="1" applyFont="1" applyAlignment="1">
      <alignment horizontal="left"/>
    </xf>
    <xf numFmtId="168" fontId="6" fillId="0" borderId="0" xfId="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8" fillId="0" borderId="0" xfId="0" applyFont="1"/>
    <xf numFmtId="0" fontId="9" fillId="0" borderId="0" xfId="0" applyFont="1"/>
    <xf numFmtId="0" fontId="10" fillId="0" borderId="0" xfId="0" applyFont="1"/>
    <xf numFmtId="0" fontId="5" fillId="0" borderId="1" xfId="0" applyFont="1" applyBorder="1"/>
    <xf numFmtId="0" fontId="6" fillId="0" borderId="1" xfId="0" applyFont="1" applyBorder="1" applyAlignment="1">
      <alignment horizontal="center"/>
    </xf>
    <xf numFmtId="0" fontId="6" fillId="0" borderId="1" xfId="0" applyFont="1" applyBorder="1" applyAlignment="1">
      <alignment horizontal="left"/>
    </xf>
    <xf numFmtId="0" fontId="7" fillId="0" borderId="1" xfId="0" applyFont="1" applyBorder="1" applyAlignment="1">
      <alignment horizontal="center"/>
    </xf>
    <xf numFmtId="0" fontId="5" fillId="0" borderId="1" xfId="0" applyFont="1" applyBorder="1" applyAlignment="1">
      <alignment horizontal="left"/>
    </xf>
    <xf numFmtId="0" fontId="4" fillId="0" borderId="1" xfId="0" applyFont="1" applyBorder="1" applyAlignment="1">
      <alignment horizontal="center"/>
    </xf>
    <xf numFmtId="0" fontId="11" fillId="0" borderId="0" xfId="4" applyFont="1"/>
    <xf numFmtId="0" fontId="11" fillId="0" borderId="1" xfId="4" applyNumberFormat="1" applyFont="1" applyBorder="1"/>
    <xf numFmtId="0" fontId="3" fillId="0" borderId="0" xfId="4" applyFont="1" applyAlignment="1">
      <alignment horizontal="center"/>
    </xf>
    <xf numFmtId="0" fontId="11" fillId="0" borderId="1" xfId="4" applyFont="1" applyBorder="1" applyAlignment="1">
      <alignment horizontal="center"/>
    </xf>
    <xf numFmtId="14" fontId="4" fillId="0" borderId="0" xfId="4" quotePrefix="1" applyNumberFormat="1" applyFont="1"/>
    <xf numFmtId="0" fontId="4" fillId="0" borderId="0" xfId="4" applyNumberFormat="1" applyFont="1"/>
    <xf numFmtId="0" fontId="4" fillId="0" borderId="0" xfId="4" applyFont="1"/>
    <xf numFmtId="0" fontId="4" fillId="0" borderId="0" xfId="4" quotePrefix="1" applyNumberFormat="1" applyFont="1"/>
    <xf numFmtId="168" fontId="4" fillId="0" borderId="0" xfId="1" applyFont="1" applyAlignment="1">
      <alignment horizontal="center"/>
    </xf>
    <xf numFmtId="168" fontId="4" fillId="0" borderId="0" xfId="1" applyFont="1"/>
    <xf numFmtId="0" fontId="6" fillId="0" borderId="1" xfId="0" applyFont="1" applyBorder="1"/>
    <xf numFmtId="49" fontId="3" fillId="0" borderId="0" xfId="4" applyNumberFormat="1" applyFont="1"/>
    <xf numFmtId="49" fontId="11" fillId="0" borderId="0" xfId="4" applyNumberFormat="1" applyFont="1"/>
    <xf numFmtId="49" fontId="11" fillId="0" borderId="1" xfId="4" applyNumberFormat="1" applyFont="1" applyBorder="1"/>
    <xf numFmtId="49" fontId="4" fillId="0" borderId="0" xfId="4" quotePrefix="1" applyNumberFormat="1" applyFont="1"/>
    <xf numFmtId="49" fontId="5" fillId="0" borderId="0" xfId="0" applyNumberFormat="1" applyFont="1" applyAlignment="1">
      <alignment horizontal="center"/>
    </xf>
    <xf numFmtId="49" fontId="6" fillId="0" borderId="0" xfId="0" applyNumberFormat="1" applyFont="1" applyAlignment="1">
      <alignment horizontal="center"/>
    </xf>
    <xf numFmtId="167" fontId="4" fillId="0" borderId="0" xfId="2" applyFont="1" applyAlignment="1">
      <alignment horizontal="center"/>
    </xf>
    <xf numFmtId="0" fontId="11" fillId="0" borderId="0" xfId="4" applyNumberFormat="1" applyFont="1" applyBorder="1"/>
    <xf numFmtId="0" fontId="11" fillId="0" borderId="0" xfId="4" applyFont="1" applyBorder="1" applyAlignment="1">
      <alignment horizontal="center"/>
    </xf>
    <xf numFmtId="0" fontId="15" fillId="0" borderId="0" xfId="0" applyFont="1" applyBorder="1"/>
    <xf numFmtId="0" fontId="16" fillId="0" borderId="0" xfId="0" applyFont="1" applyBorder="1"/>
    <xf numFmtId="171" fontId="15" fillId="0" borderId="0" xfId="1" applyNumberFormat="1" applyFont="1" applyBorder="1" applyAlignment="1">
      <alignment horizontal="center"/>
    </xf>
    <xf numFmtId="171" fontId="15" fillId="0" borderId="0" xfId="1" applyNumberFormat="1" applyFont="1" applyFill="1" applyBorder="1" applyAlignment="1">
      <alignment horizontal="center"/>
    </xf>
    <xf numFmtId="0" fontId="15" fillId="0" borderId="0" xfId="0" applyFont="1" applyBorder="1" applyAlignment="1">
      <alignment horizontal="center"/>
    </xf>
    <xf numFmtId="0" fontId="16" fillId="0" borderId="3" xfId="0" applyFont="1" applyBorder="1"/>
    <xf numFmtId="0" fontId="15" fillId="0" borderId="3" xfId="0" applyFont="1" applyBorder="1"/>
    <xf numFmtId="171" fontId="6" fillId="0" borderId="3" xfId="1" applyNumberFormat="1" applyFont="1" applyBorder="1" applyAlignment="1">
      <alignment horizontal="center"/>
    </xf>
    <xf numFmtId="9" fontId="16" fillId="0" borderId="0" xfId="3" applyFont="1" applyBorder="1" applyAlignment="1">
      <alignment horizontal="center"/>
    </xf>
    <xf numFmtId="170" fontId="3" fillId="0" borderId="3" xfId="1" applyNumberFormat="1" applyFont="1" applyBorder="1" applyAlignment="1">
      <alignment horizontal="center"/>
    </xf>
    <xf numFmtId="169" fontId="6" fillId="0" borderId="3" xfId="3" applyNumberFormat="1" applyFont="1" applyBorder="1" applyAlignment="1">
      <alignment horizontal="right"/>
    </xf>
    <xf numFmtId="171" fontId="15" fillId="0" borderId="3" xfId="1" applyNumberFormat="1" applyFont="1" applyBorder="1"/>
    <xf numFmtId="169" fontId="15" fillId="0" borderId="3" xfId="3" applyNumberFormat="1" applyFont="1" applyBorder="1" applyAlignment="1">
      <alignment horizontal="right"/>
    </xf>
    <xf numFmtId="0" fontId="16" fillId="0" borderId="4" xfId="0" applyFont="1" applyBorder="1"/>
    <xf numFmtId="0" fontId="15" fillId="0" borderId="5" xfId="0" applyFont="1" applyBorder="1"/>
    <xf numFmtId="171" fontId="3" fillId="0" borderId="3" xfId="1" applyNumberFormat="1" applyFont="1" applyBorder="1" applyAlignment="1">
      <alignment horizontal="center"/>
    </xf>
    <xf numFmtId="0" fontId="16" fillId="0" borderId="3" xfId="0" quotePrefix="1" applyFont="1" applyBorder="1"/>
    <xf numFmtId="14" fontId="3" fillId="0" borderId="3" xfId="4" applyNumberFormat="1" applyFont="1" applyBorder="1"/>
    <xf numFmtId="0" fontId="3" fillId="0" borderId="3" xfId="4" quotePrefix="1" applyNumberFormat="1" applyFont="1" applyBorder="1"/>
    <xf numFmtId="169" fontId="6" fillId="0" borderId="0" xfId="3" applyNumberFormat="1" applyFont="1" applyBorder="1" applyAlignment="1">
      <alignment horizontal="right"/>
    </xf>
    <xf numFmtId="0" fontId="14" fillId="0" borderId="1" xfId="4" applyFont="1" applyBorder="1" applyAlignment="1">
      <alignment horizontal="center"/>
    </xf>
    <xf numFmtId="0" fontId="17" fillId="0" borderId="0" xfId="0" applyFont="1" applyBorder="1"/>
    <xf numFmtId="0" fontId="3" fillId="0" borderId="0" xfId="4" applyFont="1" applyBorder="1" applyAlignment="1">
      <alignment horizontal="center"/>
    </xf>
    <xf numFmtId="0" fontId="16" fillId="0" borderId="0" xfId="0" quotePrefix="1" applyFont="1" applyBorder="1"/>
    <xf numFmtId="14" fontId="4" fillId="0" borderId="0" xfId="4" applyNumberFormat="1" applyFont="1"/>
    <xf numFmtId="0" fontId="4" fillId="0" borderId="6" xfId="4" applyNumberFormat="1" applyFont="1" applyBorder="1"/>
    <xf numFmtId="0" fontId="3" fillId="0" borderId="7" xfId="4" applyFont="1" applyBorder="1"/>
    <xf numFmtId="0" fontId="11" fillId="0" borderId="6" xfId="4" applyNumberFormat="1" applyFont="1" applyBorder="1"/>
    <xf numFmtId="0" fontId="11" fillId="0" borderId="7" xfId="4" applyFont="1" applyBorder="1"/>
    <xf numFmtId="0" fontId="4" fillId="0" borderId="0" xfId="4" applyFont="1" applyAlignment="1">
      <alignment horizontal="center"/>
    </xf>
    <xf numFmtId="0" fontId="4" fillId="0" borderId="0" xfId="4" applyFont="1" applyAlignment="1">
      <alignment horizontal="left"/>
    </xf>
    <xf numFmtId="0" fontId="3" fillId="0" borderId="0" xfId="4" applyFont="1" applyAlignment="1">
      <alignment horizontal="left"/>
    </xf>
    <xf numFmtId="0" fontId="3" fillId="0" borderId="0" xfId="4" applyFont="1" applyAlignment="1">
      <alignment horizontal="right"/>
    </xf>
    <xf numFmtId="171" fontId="3" fillId="0" borderId="0" xfId="1" applyNumberFormat="1" applyFont="1"/>
    <xf numFmtId="171" fontId="4" fillId="0" borderId="0" xfId="1" applyNumberFormat="1" applyFont="1"/>
    <xf numFmtId="167" fontId="11" fillId="0" borderId="0" xfId="4" applyNumberFormat="1" applyFont="1" applyBorder="1" applyAlignment="1">
      <alignment horizontal="center"/>
    </xf>
    <xf numFmtId="171" fontId="3" fillId="0" borderId="0" xfId="1" applyNumberFormat="1" applyFont="1" applyBorder="1" applyAlignment="1">
      <alignment horizontal="center"/>
    </xf>
    <xf numFmtId="167" fontId="4" fillId="0" borderId="0" xfId="2" applyFont="1" applyBorder="1" applyAlignment="1">
      <alignment horizontal="center"/>
    </xf>
    <xf numFmtId="49" fontId="11" fillId="0" borderId="0" xfId="4" applyNumberFormat="1" applyFont="1" applyBorder="1"/>
    <xf numFmtId="49" fontId="3" fillId="0" borderId="0" xfId="4" applyNumberFormat="1" applyFont="1" applyBorder="1"/>
    <xf numFmtId="0" fontId="3" fillId="0" borderId="0" xfId="4" applyNumberFormat="1" applyFont="1" applyBorder="1"/>
    <xf numFmtId="14" fontId="3" fillId="0" borderId="1" xfId="4" applyNumberFormat="1" applyFont="1" applyBorder="1"/>
    <xf numFmtId="0" fontId="3" fillId="0" borderId="1" xfId="4" quotePrefix="1" applyNumberFormat="1" applyFont="1" applyBorder="1"/>
    <xf numFmtId="0" fontId="4" fillId="0" borderId="1" xfId="4" quotePrefix="1" applyNumberFormat="1" applyFont="1" applyBorder="1"/>
    <xf numFmtId="0" fontId="3" fillId="0" borderId="0" xfId="4" quotePrefix="1" applyNumberFormat="1" applyFont="1" applyBorder="1"/>
    <xf numFmtId="0" fontId="3" fillId="0" borderId="3" xfId="4" applyNumberFormat="1" applyFont="1" applyBorder="1"/>
    <xf numFmtId="9" fontId="6" fillId="0" borderId="0" xfId="4" applyNumberFormat="1" applyFont="1" applyAlignment="1">
      <alignment horizontal="center"/>
    </xf>
    <xf numFmtId="9" fontId="14" fillId="0" borderId="0" xfId="4" applyNumberFormat="1" applyFont="1" applyAlignment="1">
      <alignment horizontal="center"/>
    </xf>
    <xf numFmtId="9" fontId="14" fillId="0" borderId="0" xfId="4" applyNumberFormat="1" applyFont="1" applyBorder="1" applyAlignment="1">
      <alignment horizontal="center"/>
    </xf>
    <xf numFmtId="9" fontId="18" fillId="0" borderId="0" xfId="1" applyNumberFormat="1" applyFont="1" applyBorder="1" applyAlignment="1">
      <alignment horizontal="center"/>
    </xf>
    <xf numFmtId="9" fontId="6" fillId="0" borderId="3" xfId="1" applyNumberFormat="1" applyFont="1" applyBorder="1" applyAlignment="1">
      <alignment horizontal="center"/>
    </xf>
    <xf numFmtId="9" fontId="6" fillId="0" borderId="0" xfId="1" applyNumberFormat="1" applyFont="1" applyBorder="1" applyAlignment="1">
      <alignment horizontal="center"/>
    </xf>
    <xf numFmtId="9" fontId="18" fillId="0" borderId="0" xfId="2" applyNumberFormat="1" applyFont="1" applyAlignment="1">
      <alignment horizontal="center"/>
    </xf>
    <xf numFmtId="9" fontId="6" fillId="0" borderId="0" xfId="1" applyNumberFormat="1" applyFont="1" applyAlignment="1">
      <alignment horizontal="center"/>
    </xf>
    <xf numFmtId="9" fontId="6" fillId="0" borderId="3" xfId="4" applyNumberFormat="1" applyFont="1" applyBorder="1" applyAlignment="1">
      <alignment horizontal="center"/>
    </xf>
    <xf numFmtId="9" fontId="6" fillId="0" borderId="0" xfId="0" applyNumberFormat="1" applyFont="1" applyAlignment="1">
      <alignment horizontal="center"/>
    </xf>
    <xf numFmtId="9" fontId="6" fillId="0" borderId="0" xfId="2" applyNumberFormat="1" applyFont="1" applyAlignment="1">
      <alignment horizontal="center"/>
    </xf>
    <xf numFmtId="9" fontId="11" fillId="0" borderId="1" xfId="4" applyNumberFormat="1" applyFont="1" applyBorder="1" applyAlignment="1">
      <alignment horizontal="center"/>
    </xf>
    <xf numFmtId="9" fontId="3" fillId="0" borderId="0" xfId="4" applyNumberFormat="1" applyFont="1" applyAlignment="1">
      <alignment horizontal="center"/>
    </xf>
    <xf numFmtId="9" fontId="6" fillId="0" borderId="0" xfId="4" applyNumberFormat="1" applyFont="1" applyBorder="1" applyAlignment="1">
      <alignment horizontal="center"/>
    </xf>
    <xf numFmtId="9" fontId="4" fillId="0" borderId="0" xfId="4" applyNumberFormat="1" applyFont="1" applyBorder="1" applyAlignment="1">
      <alignment horizontal="right"/>
    </xf>
    <xf numFmtId="9" fontId="18" fillId="0" borderId="0" xfId="4" applyNumberFormat="1" applyFont="1" applyBorder="1" applyAlignment="1">
      <alignment horizontal="center"/>
    </xf>
    <xf numFmtId="10" fontId="3" fillId="0" borderId="0" xfId="4" applyNumberFormat="1" applyFont="1" applyAlignment="1">
      <alignment horizontal="center"/>
    </xf>
    <xf numFmtId="169" fontId="6" fillId="0" borderId="3" xfId="1" applyNumberFormat="1" applyFont="1" applyBorder="1" applyAlignment="1">
      <alignment horizontal="center"/>
    </xf>
    <xf numFmtId="9" fontId="6" fillId="0" borderId="3" xfId="3" applyNumberFormat="1" applyFont="1" applyBorder="1" applyAlignment="1">
      <alignment horizontal="center"/>
    </xf>
    <xf numFmtId="9" fontId="19" fillId="0" borderId="3" xfId="3" applyFont="1" applyBorder="1" applyAlignment="1">
      <alignment horizontal="center"/>
    </xf>
    <xf numFmtId="169" fontId="19" fillId="0" borderId="3" xfId="3" applyNumberFormat="1" applyFont="1" applyBorder="1" applyAlignment="1">
      <alignment horizontal="center"/>
    </xf>
    <xf numFmtId="9" fontId="3" fillId="0" borderId="3" xfId="3" applyFont="1" applyBorder="1" applyAlignment="1">
      <alignment horizontal="center"/>
    </xf>
    <xf numFmtId="169" fontId="6" fillId="0" borderId="3" xfId="3" applyNumberFormat="1" applyFont="1" applyBorder="1" applyAlignment="1">
      <alignment horizontal="center"/>
    </xf>
    <xf numFmtId="169" fontId="3" fillId="0" borderId="3" xfId="3" applyNumberFormat="1" applyFont="1" applyBorder="1" applyAlignment="1">
      <alignment horizontal="center"/>
    </xf>
    <xf numFmtId="9" fontId="6" fillId="0" borderId="0" xfId="3" applyNumberFormat="1" applyFont="1" applyBorder="1" applyAlignment="1">
      <alignment horizontal="center"/>
    </xf>
    <xf numFmtId="169" fontId="6" fillId="0" borderId="0" xfId="1" applyNumberFormat="1" applyFont="1" applyBorder="1" applyAlignment="1">
      <alignment horizontal="center"/>
    </xf>
    <xf numFmtId="10" fontId="6" fillId="0" borderId="0" xfId="1" applyNumberFormat="1" applyFont="1" applyBorder="1" applyAlignment="1">
      <alignment horizontal="center"/>
    </xf>
    <xf numFmtId="0" fontId="5" fillId="0" borderId="0" xfId="0" applyFont="1" applyBorder="1"/>
    <xf numFmtId="169" fontId="6" fillId="0" borderId="0" xfId="3" applyNumberFormat="1" applyFont="1" applyBorder="1" applyAlignment="1">
      <alignment horizontal="center"/>
    </xf>
    <xf numFmtId="14" fontId="3" fillId="0" borderId="0" xfId="4" applyNumberFormat="1" applyFont="1" applyBorder="1"/>
    <xf numFmtId="9" fontId="18" fillId="0" borderId="0" xfId="4" applyNumberFormat="1" applyFont="1" applyBorder="1" applyAlignment="1">
      <alignment horizontal="left"/>
    </xf>
    <xf numFmtId="9" fontId="3" fillId="0" borderId="0" xfId="3" applyNumberFormat="1" applyFont="1" applyBorder="1" applyAlignment="1">
      <alignment horizontal="center"/>
    </xf>
    <xf numFmtId="9" fontId="3" fillId="0" borderId="0" xfId="1" applyNumberFormat="1" applyFont="1" applyBorder="1" applyAlignment="1">
      <alignment horizontal="center"/>
    </xf>
    <xf numFmtId="9" fontId="4" fillId="0" borderId="0" xfId="2" applyNumberFormat="1" applyFont="1" applyAlignment="1">
      <alignment horizontal="center"/>
    </xf>
    <xf numFmtId="9" fontId="3" fillId="0" borderId="3" xfId="1" applyNumberFormat="1" applyFont="1" applyBorder="1" applyAlignment="1">
      <alignment horizontal="center"/>
    </xf>
    <xf numFmtId="9" fontId="3" fillId="0" borderId="0" xfId="1" applyNumberFormat="1" applyFont="1" applyAlignment="1">
      <alignment horizontal="center"/>
    </xf>
    <xf numFmtId="49" fontId="3" fillId="0" borderId="7" xfId="4" applyNumberFormat="1" applyFont="1" applyBorder="1"/>
    <xf numFmtId="9" fontId="6" fillId="0" borderId="9" xfId="2" applyNumberFormat="1" applyFont="1" applyBorder="1" applyAlignment="1">
      <alignment horizontal="center"/>
    </xf>
    <xf numFmtId="0" fontId="6" fillId="0" borderId="3" xfId="0" quotePrefix="1" applyFont="1" applyBorder="1"/>
    <xf numFmtId="0" fontId="6" fillId="0" borderId="3" xfId="0" applyFont="1" applyBorder="1"/>
    <xf numFmtId="14" fontId="6" fillId="0" borderId="3" xfId="4" applyNumberFormat="1" applyFont="1" applyBorder="1"/>
    <xf numFmtId="0" fontId="6" fillId="0" borderId="3" xfId="4" quotePrefix="1" applyNumberFormat="1" applyFont="1" applyBorder="1"/>
    <xf numFmtId="0" fontId="6" fillId="0" borderId="3" xfId="4" applyNumberFormat="1" applyFont="1" applyBorder="1"/>
    <xf numFmtId="49" fontId="6" fillId="0" borderId="3" xfId="4" applyNumberFormat="1" applyFont="1" applyBorder="1"/>
    <xf numFmtId="14" fontId="3" fillId="0" borderId="3" xfId="4" quotePrefix="1" applyNumberFormat="1" applyFont="1" applyBorder="1"/>
    <xf numFmtId="0" fontId="3" fillId="2" borderId="3" xfId="0" applyFont="1" applyFill="1" applyBorder="1" applyAlignment="1">
      <alignment horizontal="left"/>
    </xf>
    <xf numFmtId="49" fontId="3" fillId="0" borderId="3" xfId="4" quotePrefix="1" applyNumberFormat="1" applyFont="1" applyBorder="1"/>
    <xf numFmtId="49" fontId="11" fillId="0" borderId="3" xfId="4" applyNumberFormat="1" applyFont="1" applyBorder="1"/>
    <xf numFmtId="168" fontId="3" fillId="0" borderId="3" xfId="1" applyFont="1" applyBorder="1" applyAlignment="1">
      <alignment horizontal="left"/>
    </xf>
    <xf numFmtId="0" fontId="3" fillId="0" borderId="6" xfId="4" applyNumberFormat="1" applyFont="1" applyBorder="1"/>
    <xf numFmtId="9" fontId="3" fillId="0" borderId="0" xfId="4" applyNumberFormat="1" applyFont="1" applyBorder="1" applyAlignment="1">
      <alignment horizontal="center"/>
    </xf>
    <xf numFmtId="0" fontId="3" fillId="0" borderId="7" xfId="4" applyNumberFormat="1" applyFont="1" applyBorder="1" applyAlignment="1">
      <alignment horizontal="right"/>
    </xf>
    <xf numFmtId="164" fontId="3" fillId="0" borderId="7" xfId="4" applyNumberFormat="1" applyFont="1" applyBorder="1" applyAlignment="1">
      <alignment horizontal="center"/>
    </xf>
    <xf numFmtId="164" fontId="3" fillId="0" borderId="8" xfId="4" applyNumberFormat="1" applyFont="1" applyBorder="1" applyAlignment="1">
      <alignment horizontal="center"/>
    </xf>
    <xf numFmtId="172" fontId="6" fillId="0" borderId="0" xfId="2" applyNumberFormat="1" applyFont="1" applyAlignment="1">
      <alignment horizontal="center"/>
    </xf>
    <xf numFmtId="9" fontId="3" fillId="0" borderId="3" xfId="3" applyNumberFormat="1" applyFont="1" applyBorder="1" applyAlignment="1">
      <alignment horizontal="center"/>
    </xf>
    <xf numFmtId="164" fontId="4" fillId="0" borderId="7" xfId="4" applyNumberFormat="1" applyFont="1" applyBorder="1" applyAlignment="1">
      <alignment horizontal="center"/>
    </xf>
    <xf numFmtId="164" fontId="4" fillId="0" borderId="8" xfId="4" applyNumberFormat="1" applyFont="1" applyBorder="1" applyAlignment="1">
      <alignment horizontal="center"/>
    </xf>
    <xf numFmtId="164" fontId="6" fillId="0" borderId="0" xfId="4" applyNumberFormat="1" applyFont="1" applyAlignment="1">
      <alignment horizontal="center"/>
    </xf>
    <xf numFmtId="0" fontId="20" fillId="0" borderId="0" xfId="4" applyFont="1" applyAlignment="1">
      <alignment horizontal="left"/>
    </xf>
    <xf numFmtId="164" fontId="3" fillId="0" borderId="6" xfId="4" applyNumberFormat="1" applyFont="1" applyBorder="1" applyAlignment="1">
      <alignment horizontal="center"/>
    </xf>
    <xf numFmtId="0" fontId="14" fillId="0" borderId="0" xfId="0" applyFont="1"/>
    <xf numFmtId="171" fontId="6" fillId="0" borderId="0" xfId="1" applyNumberFormat="1" applyFont="1" applyBorder="1" applyAlignment="1">
      <alignment horizontal="left"/>
    </xf>
    <xf numFmtId="0" fontId="6" fillId="0" borderId="3" xfId="0" quotePrefix="1" applyFont="1" applyBorder="1" applyAlignment="1">
      <alignment horizontal="left"/>
    </xf>
    <xf numFmtId="14" fontId="6" fillId="0" borderId="3" xfId="4" quotePrefix="1" applyNumberFormat="1" applyFont="1" applyBorder="1"/>
    <xf numFmtId="0" fontId="21" fillId="0" borderId="0" xfId="5" quotePrefix="1" applyNumberFormat="1"/>
    <xf numFmtId="0" fontId="21" fillId="0" borderId="0" xfId="5"/>
    <xf numFmtId="0" fontId="2" fillId="0" borderId="0" xfId="5" quotePrefix="1" applyNumberFormat="1" applyFont="1"/>
    <xf numFmtId="0" fontId="23" fillId="0" borderId="0" xfId="5" quotePrefix="1" applyNumberFormat="1" applyFont="1"/>
    <xf numFmtId="0" fontId="23" fillId="0" borderId="0" xfId="5" applyFont="1"/>
    <xf numFmtId="10" fontId="21" fillId="0" borderId="0" xfId="3" applyNumberFormat="1" applyFont="1"/>
    <xf numFmtId="10" fontId="24" fillId="0" borderId="0" xfId="3" applyNumberFormat="1" applyFont="1"/>
    <xf numFmtId="10" fontId="2" fillId="0" borderId="0" xfId="3" applyNumberFormat="1" applyFont="1"/>
    <xf numFmtId="168" fontId="22" fillId="0" borderId="0" xfId="1" quotePrefix="1" applyFont="1"/>
    <xf numFmtId="169" fontId="6" fillId="0" borderId="0" xfId="3" applyNumberFormat="1" applyFont="1" applyAlignment="1">
      <alignment horizontal="center"/>
    </xf>
    <xf numFmtId="0" fontId="3" fillId="0" borderId="2" xfId="4" applyFont="1" applyBorder="1" applyAlignment="1">
      <alignment horizontal="left"/>
    </xf>
    <xf numFmtId="0" fontId="3" fillId="0" borderId="2" xfId="4" applyFont="1" applyBorder="1" applyAlignment="1">
      <alignment horizontal="center"/>
    </xf>
    <xf numFmtId="172" fontId="4" fillId="0" borderId="0" xfId="2" applyNumberFormat="1" applyFont="1" applyAlignment="1">
      <alignment horizontal="center"/>
    </xf>
    <xf numFmtId="172" fontId="11" fillId="0" borderId="8" xfId="4" applyNumberFormat="1" applyFont="1" applyBorder="1" applyAlignment="1">
      <alignment horizontal="center"/>
    </xf>
    <xf numFmtId="0" fontId="4" fillId="0" borderId="2" xfId="4" applyFont="1" applyBorder="1" applyAlignment="1">
      <alignment horizontal="left"/>
    </xf>
    <xf numFmtId="171" fontId="6" fillId="0" borderId="0" xfId="1" applyNumberFormat="1" applyFont="1" applyAlignment="1">
      <alignment horizontal="center"/>
    </xf>
    <xf numFmtId="0" fontId="6" fillId="0" borderId="2" xfId="4" applyFont="1" applyBorder="1" applyAlignment="1">
      <alignment horizontal="left"/>
    </xf>
    <xf numFmtId="172" fontId="3" fillId="0" borderId="3" xfId="1" applyNumberFormat="1" applyFont="1" applyBorder="1" applyAlignment="1">
      <alignment horizontal="center"/>
    </xf>
    <xf numFmtId="172" fontId="3" fillId="0" borderId="0" xfId="4" applyNumberFormat="1" applyFont="1" applyAlignment="1">
      <alignment horizontal="center"/>
    </xf>
    <xf numFmtId="172" fontId="5" fillId="0" borderId="0" xfId="0" applyNumberFormat="1" applyFont="1" applyAlignment="1">
      <alignment horizontal="center"/>
    </xf>
    <xf numFmtId="172" fontId="3" fillId="0" borderId="1" xfId="4" applyNumberFormat="1" applyFont="1" applyBorder="1" applyAlignment="1">
      <alignment horizontal="center"/>
    </xf>
    <xf numFmtId="9" fontId="6" fillId="0" borderId="0" xfId="4" applyNumberFormat="1" applyFont="1" applyAlignment="1">
      <alignment horizontal="left"/>
    </xf>
    <xf numFmtId="10" fontId="3" fillId="0" borderId="0" xfId="4" applyNumberFormat="1" applyFont="1"/>
    <xf numFmtId="49" fontId="4" fillId="0" borderId="0" xfId="4" applyNumberFormat="1" applyFont="1"/>
    <xf numFmtId="171" fontId="4" fillId="0" borderId="0" xfId="2" applyNumberFormat="1" applyFont="1" applyAlignment="1">
      <alignment horizontal="center"/>
    </xf>
    <xf numFmtId="171" fontId="11" fillId="0" borderId="0" xfId="4" applyNumberFormat="1" applyFont="1" applyBorder="1" applyAlignment="1">
      <alignment horizontal="center"/>
    </xf>
    <xf numFmtId="171" fontId="3" fillId="0" borderId="1" xfId="2" applyNumberFormat="1" applyFont="1" applyBorder="1" applyAlignment="1">
      <alignment horizontal="center"/>
    </xf>
    <xf numFmtId="171" fontId="3" fillId="0" borderId="0" xfId="4" applyNumberFormat="1" applyFont="1" applyAlignment="1">
      <alignment horizontal="center"/>
    </xf>
    <xf numFmtId="9" fontId="3" fillId="0" borderId="0" xfId="3" applyFont="1" applyAlignment="1">
      <alignment horizontal="right"/>
    </xf>
    <xf numFmtId="169" fontId="6" fillId="0" borderId="0" xfId="3" applyNumberFormat="1" applyFont="1"/>
    <xf numFmtId="0" fontId="6" fillId="0" borderId="0" xfId="0" quotePrefix="1" applyFont="1"/>
    <xf numFmtId="167" fontId="5" fillId="0" borderId="3" xfId="4" applyNumberFormat="1" applyFont="1" applyBorder="1" applyAlignment="1">
      <alignment horizontal="center"/>
    </xf>
    <xf numFmtId="172" fontId="4" fillId="0" borderId="9" xfId="2" applyNumberFormat="1" applyFont="1" applyBorder="1" applyAlignment="1">
      <alignment horizontal="center"/>
    </xf>
    <xf numFmtId="172" fontId="4" fillId="0" borderId="0" xfId="3" applyNumberFormat="1" applyFont="1" applyBorder="1" applyAlignment="1">
      <alignment horizontal="center"/>
    </xf>
    <xf numFmtId="171" fontId="3" fillId="0" borderId="0" xfId="1" applyNumberFormat="1" applyFont="1" applyAlignment="1">
      <alignment horizontal="center"/>
    </xf>
    <xf numFmtId="171" fontId="3" fillId="0" borderId="1" xfId="1" applyNumberFormat="1" applyFont="1" applyBorder="1" applyAlignment="1">
      <alignment horizontal="center"/>
    </xf>
    <xf numFmtId="171" fontId="5" fillId="0" borderId="0" xfId="0" applyNumberFormat="1" applyFont="1" applyAlignment="1">
      <alignment horizontal="center"/>
    </xf>
    <xf numFmtId="171" fontId="3" fillId="0" borderId="1" xfId="4" applyNumberFormat="1" applyFont="1" applyBorder="1" applyAlignment="1">
      <alignment horizontal="center"/>
    </xf>
    <xf numFmtId="171" fontId="3" fillId="0" borderId="0" xfId="2" applyNumberFormat="1" applyFont="1" applyAlignment="1">
      <alignment horizontal="center"/>
    </xf>
    <xf numFmtId="171" fontId="3" fillId="0" borderId="3" xfId="1" applyNumberFormat="1" applyFont="1" applyBorder="1" applyAlignment="1">
      <alignment horizontal="right"/>
    </xf>
    <xf numFmtId="0" fontId="5" fillId="0" borderId="1" xfId="0" applyFont="1" applyBorder="1" applyAlignment="1">
      <alignment horizontal="center"/>
    </xf>
    <xf numFmtId="49" fontId="6" fillId="0" borderId="3" xfId="4" quotePrefix="1" applyNumberFormat="1" applyFont="1" applyBorder="1"/>
    <xf numFmtId="0" fontId="0" fillId="0" borderId="0" xfId="0" quotePrefix="1" applyNumberFormat="1"/>
    <xf numFmtId="0" fontId="2" fillId="0" borderId="0" xfId="0" applyFont="1"/>
    <xf numFmtId="0" fontId="2" fillId="0" borderId="0" xfId="0" quotePrefix="1" applyFont="1"/>
    <xf numFmtId="0" fontId="2" fillId="0" borderId="0" xfId="0" quotePrefix="1" applyNumberFormat="1" applyFont="1"/>
    <xf numFmtId="0" fontId="0" fillId="0" borderId="0" xfId="0" quotePrefix="1" applyNumberFormat="1" applyFont="1"/>
    <xf numFmtId="0" fontId="2" fillId="0" borderId="0" xfId="0" applyFont="1" applyAlignment="1">
      <alignment wrapText="1"/>
    </xf>
    <xf numFmtId="0" fontId="0" fillId="0" borderId="0" xfId="0" applyAlignment="1">
      <alignment wrapText="1"/>
    </xf>
    <xf numFmtId="10" fontId="0" fillId="0" borderId="0" xfId="0" applyNumberFormat="1" applyAlignment="1">
      <alignment horizontal="left" wrapText="1"/>
    </xf>
    <xf numFmtId="10" fontId="0" fillId="0" borderId="0" xfId="0" applyNumberFormat="1" applyAlignment="1">
      <alignment wrapText="1"/>
    </xf>
    <xf numFmtId="0" fontId="2" fillId="0" borderId="0" xfId="0" quotePrefix="1" applyNumberFormat="1" applyFont="1" applyAlignment="1">
      <alignment horizontal="left"/>
    </xf>
    <xf numFmtId="0" fontId="25" fillId="0" borderId="0" xfId="0" quotePrefix="1" applyFont="1"/>
    <xf numFmtId="0" fontId="26" fillId="0" borderId="0" xfId="0" applyFont="1" applyAlignment="1">
      <alignment horizontal="left" vertical="center" wrapText="1"/>
    </xf>
    <xf numFmtId="0" fontId="27" fillId="0" borderId="0" xfId="0" applyFont="1" applyAlignment="1">
      <alignment horizontal="center"/>
    </xf>
    <xf numFmtId="0" fontId="27" fillId="0" borderId="0" xfId="0" applyFont="1"/>
    <xf numFmtId="0" fontId="28" fillId="0" borderId="0" xfId="0" applyFont="1"/>
    <xf numFmtId="0" fontId="4" fillId="3" borderId="0" xfId="4" applyNumberFormat="1" applyFont="1" applyFill="1"/>
    <xf numFmtId="168" fontId="6" fillId="0" borderId="3" xfId="1" applyNumberFormat="1" applyFont="1" applyBorder="1" applyAlignment="1">
      <alignment horizontal="center"/>
    </xf>
    <xf numFmtId="9" fontId="29" fillId="0" borderId="0" xfId="3" applyFont="1" applyAlignment="1">
      <alignment horizontal="center"/>
    </xf>
    <xf numFmtId="9" fontId="19" fillId="0" borderId="3" xfId="3" applyNumberFormat="1" applyFont="1" applyBorder="1" applyAlignment="1">
      <alignment horizontal="center"/>
    </xf>
    <xf numFmtId="169" fontId="19" fillId="3" borderId="3" xfId="3" applyNumberFormat="1" applyFont="1" applyFill="1" applyBorder="1" applyAlignment="1">
      <alignment horizontal="center"/>
    </xf>
    <xf numFmtId="169" fontId="18" fillId="0" borderId="0" xfId="1" applyNumberFormat="1" applyFont="1" applyBorder="1" applyAlignment="1">
      <alignment horizontal="center"/>
    </xf>
    <xf numFmtId="168" fontId="3" fillId="0" borderId="0" xfId="4" applyNumberFormat="1" applyFont="1" applyAlignment="1">
      <alignment horizontal="center"/>
    </xf>
    <xf numFmtId="0" fontId="32" fillId="0" borderId="0" xfId="6" applyFont="1"/>
    <xf numFmtId="2" fontId="32" fillId="0" borderId="0" xfId="6" applyNumberFormat="1" applyFont="1"/>
    <xf numFmtId="0" fontId="31" fillId="0" borderId="0" xfId="6"/>
    <xf numFmtId="2" fontId="31" fillId="0" borderId="0" xfId="6" applyNumberFormat="1"/>
    <xf numFmtId="0" fontId="30" fillId="0" borderId="6" xfId="6" applyFont="1" applyBorder="1"/>
    <xf numFmtId="2" fontId="30" fillId="0" borderId="7" xfId="6" applyNumberFormat="1" applyFont="1" applyBorder="1"/>
    <xf numFmtId="2" fontId="30" fillId="0" borderId="8" xfId="6" applyNumberFormat="1" applyFont="1" applyBorder="1"/>
    <xf numFmtId="0" fontId="31" fillId="0" borderId="0" xfId="6" applyAlignment="1">
      <alignment horizontal="center"/>
    </xf>
    <xf numFmtId="2" fontId="31" fillId="0" borderId="0" xfId="6" applyNumberFormat="1" applyAlignment="1">
      <alignment horizontal="center"/>
    </xf>
    <xf numFmtId="2" fontId="31" fillId="0" borderId="0" xfId="6" quotePrefix="1" applyNumberFormat="1" applyAlignment="1">
      <alignment horizontal="center"/>
    </xf>
    <xf numFmtId="0" fontId="33" fillId="0" borderId="0" xfId="6" quotePrefix="1" applyFont="1" applyAlignment="1">
      <alignment horizontal="center"/>
    </xf>
    <xf numFmtId="2" fontId="31" fillId="35" borderId="3" xfId="6" applyNumberFormat="1" applyFill="1" applyBorder="1" applyProtection="1">
      <protection locked="0"/>
    </xf>
    <xf numFmtId="2" fontId="31" fillId="36" borderId="3" xfId="6" applyNumberFormat="1" applyFill="1" applyBorder="1"/>
    <xf numFmtId="1" fontId="31" fillId="0" borderId="19" xfId="6" applyNumberFormat="1" applyFill="1" applyBorder="1" applyProtection="1"/>
    <xf numFmtId="1" fontId="31" fillId="0" borderId="20" xfId="6" applyNumberFormat="1" applyFill="1" applyBorder="1" applyProtection="1"/>
    <xf numFmtId="1" fontId="31" fillId="35" borderId="3" xfId="6" applyNumberFormat="1" applyFill="1" applyBorder="1" applyProtection="1">
      <protection locked="0"/>
    </xf>
    <xf numFmtId="1" fontId="31" fillId="0" borderId="0" xfId="6" applyNumberFormat="1" applyFill="1" applyBorder="1" applyProtection="1"/>
    <xf numFmtId="1" fontId="31" fillId="0" borderId="21" xfId="6" applyNumberFormat="1" applyFill="1" applyBorder="1" applyProtection="1"/>
    <xf numFmtId="10" fontId="31" fillId="35" borderId="3" xfId="6" applyNumberFormat="1" applyFill="1" applyBorder="1" applyProtection="1">
      <protection locked="0"/>
    </xf>
    <xf numFmtId="1" fontId="31" fillId="36" borderId="3" xfId="6" applyNumberFormat="1" applyFill="1" applyBorder="1"/>
    <xf numFmtId="173" fontId="31" fillId="35" borderId="3" xfId="6" applyNumberFormat="1" applyFill="1" applyBorder="1" applyProtection="1">
      <protection locked="0"/>
    </xf>
    <xf numFmtId="173" fontId="31" fillId="36" borderId="3" xfId="6" applyNumberFormat="1" applyFill="1" applyBorder="1"/>
    <xf numFmtId="1" fontId="31" fillId="0" borderId="0" xfId="6" applyNumberFormat="1"/>
    <xf numFmtId="171" fontId="31" fillId="0" borderId="0" xfId="1" applyNumberFormat="1" applyFont="1"/>
    <xf numFmtId="171" fontId="0" fillId="0" borderId="0" xfId="7" applyNumberFormat="1" applyFont="1"/>
    <xf numFmtId="10" fontId="31" fillId="0" borderId="0" xfId="6" applyNumberFormat="1"/>
    <xf numFmtId="0" fontId="30" fillId="0" borderId="4" xfId="6" applyFont="1" applyBorder="1"/>
    <xf numFmtId="2" fontId="30" fillId="0" borderId="9" xfId="6" applyNumberFormat="1" applyFont="1" applyBorder="1"/>
    <xf numFmtId="165" fontId="30" fillId="0" borderId="5" xfId="6" applyNumberFormat="1" applyFont="1" applyBorder="1"/>
    <xf numFmtId="0" fontId="30" fillId="0" borderId="0" xfId="6" applyFont="1" applyBorder="1"/>
    <xf numFmtId="2" fontId="30" fillId="0" borderId="0" xfId="6" applyNumberFormat="1" applyFont="1" applyBorder="1"/>
    <xf numFmtId="165" fontId="30" fillId="0" borderId="0" xfId="6" applyNumberFormat="1" applyFont="1" applyBorder="1"/>
    <xf numFmtId="0" fontId="30" fillId="37" borderId="6" xfId="6" applyFont="1" applyFill="1" applyBorder="1"/>
    <xf numFmtId="2" fontId="30" fillId="37" borderId="7" xfId="6" applyNumberFormat="1" applyFont="1" applyFill="1" applyBorder="1"/>
    <xf numFmtId="2" fontId="30" fillId="37" borderId="8" xfId="6" applyNumberFormat="1" applyFont="1" applyFill="1" applyBorder="1"/>
    <xf numFmtId="173" fontId="31" fillId="0" borderId="0" xfId="6" applyNumberFormat="1"/>
    <xf numFmtId="174" fontId="31" fillId="0" borderId="0" xfId="6" applyNumberFormat="1"/>
    <xf numFmtId="0" fontId="31" fillId="0" borderId="0" xfId="6" applyAlignment="1">
      <alignment wrapText="1"/>
    </xf>
    <xf numFmtId="2" fontId="34" fillId="0" borderId="0" xfId="6" applyNumberFormat="1" applyFont="1" applyAlignment="1">
      <alignment horizontal="center" wrapText="1"/>
    </xf>
    <xf numFmtId="10" fontId="31" fillId="36" borderId="3" xfId="6" applyNumberFormat="1" applyFill="1" applyBorder="1"/>
    <xf numFmtId="0" fontId="31" fillId="0" borderId="0" xfId="6" applyFont="1" applyBorder="1"/>
    <xf numFmtId="2" fontId="31" fillId="0" borderId="0" xfId="6" applyNumberFormat="1" applyFont="1" applyBorder="1"/>
    <xf numFmtId="165" fontId="31" fillId="0" borderId="0" xfId="6" applyNumberFormat="1" applyFont="1" applyBorder="1"/>
    <xf numFmtId="0" fontId="30" fillId="0" borderId="0" xfId="6" applyFont="1"/>
    <xf numFmtId="0" fontId="31" fillId="0" borderId="0" xfId="6" applyFont="1" applyFill="1" applyBorder="1"/>
    <xf numFmtId="0" fontId="31" fillId="0" borderId="0" xfId="6" applyFill="1" applyBorder="1"/>
    <xf numFmtId="0" fontId="30" fillId="0" borderId="4" xfId="6" applyFont="1" applyFill="1" applyBorder="1"/>
    <xf numFmtId="2" fontId="30" fillId="0" borderId="0" xfId="6" applyNumberFormat="1" applyFont="1"/>
    <xf numFmtId="1" fontId="30" fillId="0" borderId="0" xfId="6" applyNumberFormat="1" applyFont="1"/>
    <xf numFmtId="9" fontId="31" fillId="0" borderId="0" xfId="6" applyNumberFormat="1"/>
    <xf numFmtId="165" fontId="31" fillId="0" borderId="0" xfId="6" applyNumberFormat="1"/>
    <xf numFmtId="0" fontId="31" fillId="0" borderId="0" xfId="6" quotePrefix="1"/>
    <xf numFmtId="167" fontId="31" fillId="0" borderId="0" xfId="6" applyNumberFormat="1"/>
    <xf numFmtId="171" fontId="31" fillId="0" borderId="0" xfId="6" applyNumberFormat="1"/>
    <xf numFmtId="172" fontId="0" fillId="0" borderId="0" xfId="8" applyNumberFormat="1" applyFont="1"/>
    <xf numFmtId="172" fontId="11" fillId="0" borderId="7" xfId="4" applyNumberFormat="1" applyFont="1" applyBorder="1" applyAlignment="1">
      <alignment horizontal="center"/>
    </xf>
    <xf numFmtId="168" fontId="18" fillId="0" borderId="3" xfId="1" applyNumberFormat="1" applyFont="1" applyBorder="1" applyAlignment="1">
      <alignment horizontal="right"/>
    </xf>
    <xf numFmtId="168" fontId="5" fillId="0" borderId="3" xfId="1" applyNumberFormat="1" applyFont="1" applyBorder="1" applyAlignment="1">
      <alignment horizontal="right"/>
    </xf>
    <xf numFmtId="0" fontId="6" fillId="0" borderId="0" xfId="1" applyNumberFormat="1" applyFont="1" applyAlignment="1">
      <alignment horizontal="left"/>
    </xf>
    <xf numFmtId="0" fontId="6" fillId="0" borderId="0" xfId="0" applyFont="1" applyAlignment="1">
      <alignment horizontal="left"/>
    </xf>
    <xf numFmtId="168" fontId="4" fillId="0" borderId="0" xfId="1" applyFont="1" applyAlignment="1">
      <alignment horizontal="left"/>
    </xf>
    <xf numFmtId="0" fontId="3" fillId="0" borderId="0" xfId="4" quotePrefix="1" applyNumberFormat="1" applyFont="1" applyAlignment="1">
      <alignment horizontal="left"/>
    </xf>
    <xf numFmtId="2" fontId="3" fillId="0" borderId="0" xfId="4" applyNumberFormat="1" applyFont="1" applyAlignment="1">
      <alignment horizontal="center"/>
    </xf>
    <xf numFmtId="0" fontId="50" fillId="0" borderId="0" xfId="5" applyFont="1"/>
    <xf numFmtId="168" fontId="15" fillId="0" borderId="3" xfId="1" applyNumberFormat="1" applyFont="1" applyBorder="1"/>
    <xf numFmtId="168" fontId="4" fillId="0" borderId="3" xfId="1" applyNumberFormat="1" applyFont="1" applyBorder="1" applyAlignment="1">
      <alignment horizontal="center"/>
    </xf>
    <xf numFmtId="168" fontId="3" fillId="0" borderId="3" xfId="1" applyNumberFormat="1" applyFont="1" applyBorder="1" applyAlignment="1">
      <alignment horizontal="center"/>
    </xf>
    <xf numFmtId="168" fontId="5" fillId="0" borderId="3" xfId="1" applyNumberFormat="1" applyFont="1" applyBorder="1" applyAlignment="1">
      <alignment horizontal="center"/>
    </xf>
    <xf numFmtId="171" fontId="31" fillId="3" borderId="3" xfId="7" applyNumberFormat="1" applyFont="1" applyFill="1" applyBorder="1" applyProtection="1">
      <protection locked="0"/>
    </xf>
    <xf numFmtId="1" fontId="31" fillId="3" borderId="3" xfId="6" applyNumberFormat="1" applyFill="1" applyBorder="1" applyProtection="1">
      <protection locked="0"/>
    </xf>
    <xf numFmtId="10" fontId="31" fillId="3" borderId="3" xfId="6" applyNumberFormat="1" applyFill="1" applyBorder="1" applyProtection="1">
      <protection locked="0"/>
    </xf>
    <xf numFmtId="171" fontId="4" fillId="0" borderId="0" xfId="4" applyNumberFormat="1" applyFont="1" applyAlignment="1">
      <alignment horizontal="center"/>
    </xf>
    <xf numFmtId="2" fontId="21" fillId="0" borderId="0" xfId="5" quotePrefix="1" applyNumberFormat="1"/>
    <xf numFmtId="2" fontId="31" fillId="3" borderId="3" xfId="6" applyNumberFormat="1" applyFill="1" applyBorder="1" applyProtection="1">
      <protection locked="0"/>
    </xf>
    <xf numFmtId="169" fontId="3" fillId="0" borderId="0" xfId="3" applyNumberFormat="1" applyFont="1" applyBorder="1" applyAlignment="1">
      <alignment horizontal="right"/>
    </xf>
    <xf numFmtId="168" fontId="6" fillId="0" borderId="3" xfId="3" applyNumberFormat="1" applyFont="1" applyBorder="1" applyAlignment="1">
      <alignment horizontal="right"/>
    </xf>
    <xf numFmtId="168" fontId="6" fillId="38" borderId="0" xfId="1" applyFont="1" applyFill="1"/>
    <xf numFmtId="174" fontId="3" fillId="0" borderId="0" xfId="4" applyNumberFormat="1" applyFont="1" applyAlignment="1">
      <alignment horizontal="center"/>
    </xf>
    <xf numFmtId="171" fontId="3" fillId="38" borderId="3" xfId="1" applyNumberFormat="1" applyFont="1" applyFill="1" applyBorder="1" applyAlignment="1">
      <alignment horizontal="center"/>
    </xf>
    <xf numFmtId="9" fontId="6" fillId="0" borderId="0" xfId="3" applyFont="1"/>
    <xf numFmtId="9" fontId="6" fillId="0" borderId="0" xfId="3" applyFont="1" applyAlignment="1">
      <alignment horizontal="center"/>
    </xf>
    <xf numFmtId="10" fontId="5" fillId="0" borderId="0" xfId="3" applyNumberFormat="1" applyFont="1"/>
    <xf numFmtId="0" fontId="51" fillId="0" borderId="0" xfId="4" applyFont="1" applyAlignment="1">
      <alignment horizontal="center"/>
    </xf>
    <xf numFmtId="0" fontId="52" fillId="0" borderId="1" xfId="4" applyFont="1" applyBorder="1" applyAlignment="1">
      <alignment horizontal="center"/>
    </xf>
    <xf numFmtId="0" fontId="52" fillId="0" borderId="0" xfId="4" applyFont="1" applyBorder="1" applyAlignment="1">
      <alignment horizontal="center"/>
    </xf>
    <xf numFmtId="171" fontId="51" fillId="0" borderId="3" xfId="1" applyNumberFormat="1" applyFont="1" applyBorder="1" applyAlignment="1">
      <alignment horizontal="center"/>
    </xf>
    <xf numFmtId="172" fontId="52" fillId="0" borderId="0" xfId="2" applyNumberFormat="1" applyFont="1" applyAlignment="1">
      <alignment horizontal="center"/>
    </xf>
    <xf numFmtId="171" fontId="52" fillId="0" borderId="0" xfId="2" applyNumberFormat="1" applyFont="1" applyAlignment="1">
      <alignment horizontal="center"/>
    </xf>
    <xf numFmtId="171" fontId="52" fillId="0" borderId="0" xfId="4" applyNumberFormat="1" applyFont="1" applyBorder="1" applyAlignment="1">
      <alignment horizontal="center"/>
    </xf>
    <xf numFmtId="169" fontId="51" fillId="0" borderId="3" xfId="3" applyNumberFormat="1" applyFont="1" applyBorder="1" applyAlignment="1">
      <alignment horizontal="center"/>
    </xf>
    <xf numFmtId="169" fontId="52" fillId="0" borderId="0" xfId="3" applyNumberFormat="1" applyFont="1" applyAlignment="1">
      <alignment horizontal="center"/>
    </xf>
    <xf numFmtId="171" fontId="51" fillId="0" borderId="1" xfId="2" applyNumberFormat="1" applyFont="1" applyBorder="1" applyAlignment="1">
      <alignment horizontal="center"/>
    </xf>
    <xf numFmtId="9" fontId="51" fillId="0" borderId="0" xfId="3" applyFont="1" applyAlignment="1">
      <alignment horizontal="right"/>
    </xf>
    <xf numFmtId="171" fontId="51" fillId="0" borderId="0" xfId="4" applyNumberFormat="1" applyFont="1" applyAlignment="1">
      <alignment horizontal="center"/>
    </xf>
    <xf numFmtId="171" fontId="52" fillId="0" borderId="0" xfId="4" applyNumberFormat="1" applyFont="1" applyAlignment="1">
      <alignment horizontal="center"/>
    </xf>
    <xf numFmtId="49" fontId="51" fillId="0" borderId="0" xfId="4" applyNumberFormat="1" applyFont="1"/>
    <xf numFmtId="0" fontId="52" fillId="0" borderId="0" xfId="4" applyNumberFormat="1" applyFont="1" applyBorder="1"/>
    <xf numFmtId="49" fontId="52" fillId="0" borderId="3" xfId="4" quotePrefix="1" applyNumberFormat="1" applyFont="1" applyBorder="1"/>
    <xf numFmtId="0" fontId="52" fillId="2" borderId="3" xfId="0" applyFont="1" applyFill="1" applyBorder="1" applyAlignment="1">
      <alignment horizontal="right"/>
    </xf>
    <xf numFmtId="0" fontId="52" fillId="0" borderId="0" xfId="4" applyFont="1" applyAlignment="1">
      <alignment horizontal="center"/>
    </xf>
    <xf numFmtId="0" fontId="53" fillId="0" borderId="0" xfId="0" applyFont="1"/>
    <xf numFmtId="0" fontId="52" fillId="0" borderId="0" xfId="4" applyFont="1"/>
    <xf numFmtId="171" fontId="52" fillId="0" borderId="26" xfId="1" applyNumberFormat="1" applyFont="1" applyBorder="1" applyAlignment="1">
      <alignment horizontal="center"/>
    </xf>
    <xf numFmtId="169" fontId="52" fillId="0" borderId="26" xfId="3" applyNumberFormat="1" applyFont="1" applyBorder="1" applyAlignment="1">
      <alignment horizontal="center"/>
    </xf>
    <xf numFmtId="171" fontId="3" fillId="0" borderId="25" xfId="1" applyNumberFormat="1" applyFont="1" applyBorder="1" applyAlignment="1">
      <alignment horizontal="center"/>
    </xf>
    <xf numFmtId="169" fontId="51" fillId="0" borderId="25" xfId="3" applyNumberFormat="1" applyFont="1" applyBorder="1" applyAlignment="1">
      <alignment horizontal="center"/>
    </xf>
    <xf numFmtId="168" fontId="6" fillId="0" borderId="0" xfId="1" applyFont="1" applyFill="1"/>
    <xf numFmtId="0" fontId="6" fillId="0" borderId="0" xfId="1" applyNumberFormat="1" applyFont="1" applyFill="1" applyAlignment="1">
      <alignment horizontal="center"/>
    </xf>
    <xf numFmtId="168" fontId="5" fillId="0" borderId="0" xfId="1" applyFont="1" applyFill="1"/>
    <xf numFmtId="168" fontId="6" fillId="0" borderId="0" xfId="1" applyFont="1" applyFill="1" applyAlignment="1">
      <alignment horizontal="center"/>
    </xf>
    <xf numFmtId="9" fontId="6" fillId="0" borderId="0" xfId="3" applyFont="1" applyFill="1" applyAlignment="1">
      <alignment horizontal="center"/>
    </xf>
    <xf numFmtId="168" fontId="5" fillId="0" borderId="0" xfId="0" applyNumberFormat="1" applyFont="1" applyFill="1"/>
    <xf numFmtId="0" fontId="5" fillId="0" borderId="0" xfId="0" applyFont="1" applyFill="1"/>
    <xf numFmtId="2" fontId="6" fillId="0" borderId="3" xfId="3" applyNumberFormat="1" applyFont="1" applyBorder="1" applyAlignment="1">
      <alignment horizontal="right"/>
    </xf>
    <xf numFmtId="0" fontId="6" fillId="0" borderId="0" xfId="0" applyFont="1" applyAlignment="1"/>
    <xf numFmtId="0" fontId="6" fillId="0" borderId="1" xfId="0" applyFont="1" applyBorder="1" applyAlignment="1"/>
    <xf numFmtId="0" fontId="6" fillId="0" borderId="0" xfId="1" applyNumberFormat="1" applyFont="1" applyAlignment="1"/>
    <xf numFmtId="168" fontId="6" fillId="0" borderId="0" xfId="1" applyFont="1" applyFill="1" applyAlignment="1"/>
    <xf numFmtId="168" fontId="6" fillId="0" borderId="0" xfId="1" applyFont="1" applyAlignment="1"/>
    <xf numFmtId="168" fontId="4" fillId="0" borderId="0" xfId="1" applyFont="1" applyAlignment="1"/>
    <xf numFmtId="0" fontId="3" fillId="0" borderId="0" xfId="4" quotePrefix="1" applyNumberFormat="1" applyFont="1" applyAlignment="1"/>
    <xf numFmtId="9" fontId="52" fillId="0" borderId="0" xfId="3" applyNumberFormat="1" applyFont="1" applyAlignment="1">
      <alignment horizontal="center"/>
    </xf>
    <xf numFmtId="167" fontId="4" fillId="0" borderId="0" xfId="2" applyNumberFormat="1" applyFont="1" applyAlignment="1">
      <alignment horizontal="center"/>
    </xf>
    <xf numFmtId="0" fontId="6" fillId="38" borderId="3" xfId="0" applyFont="1" applyFill="1" applyBorder="1"/>
    <xf numFmtId="175" fontId="6" fillId="0" borderId="0" xfId="3" applyNumberFormat="1" applyFont="1"/>
    <xf numFmtId="167" fontId="6" fillId="0" borderId="0" xfId="2" applyFont="1"/>
    <xf numFmtId="167" fontId="6" fillId="0" borderId="0" xfId="3" applyNumberFormat="1" applyFont="1"/>
    <xf numFmtId="167" fontId="6" fillId="0" borderId="0" xfId="3" applyNumberFormat="1" applyFont="1" applyAlignment="1">
      <alignment horizontal="center"/>
    </xf>
    <xf numFmtId="16" fontId="6" fillId="0" borderId="0" xfId="1" applyNumberFormat="1" applyFont="1" applyAlignment="1"/>
    <xf numFmtId="10" fontId="6" fillId="0" borderId="3" xfId="3" applyNumberFormat="1" applyFont="1" applyBorder="1" applyAlignment="1">
      <alignment horizontal="right"/>
    </xf>
    <xf numFmtId="171" fontId="6" fillId="0" borderId="22" xfId="1" applyNumberFormat="1" applyFont="1" applyBorder="1" applyAlignment="1">
      <alignment horizontal="left" vertical="center"/>
    </xf>
    <xf numFmtId="171" fontId="6" fillId="0" borderId="19" xfId="1" applyNumberFormat="1" applyFont="1" applyBorder="1" applyAlignment="1">
      <alignment horizontal="left" vertical="center"/>
    </xf>
    <xf numFmtId="171" fontId="6" fillId="0" borderId="20" xfId="1" applyNumberFormat="1" applyFont="1" applyBorder="1" applyAlignment="1">
      <alignment horizontal="left" vertical="center"/>
    </xf>
    <xf numFmtId="171" fontId="6" fillId="0" borderId="23" xfId="1" applyNumberFormat="1" applyFont="1" applyBorder="1" applyAlignment="1">
      <alignment horizontal="left" vertical="center"/>
    </xf>
    <xf numFmtId="171" fontId="6" fillId="0" borderId="2" xfId="1" applyNumberFormat="1" applyFont="1" applyBorder="1" applyAlignment="1">
      <alignment horizontal="left" vertical="center"/>
    </xf>
    <xf numFmtId="171" fontId="6" fillId="0" borderId="24" xfId="1" applyNumberFormat="1" applyFont="1" applyBorder="1" applyAlignment="1">
      <alignment horizontal="left" vertical="center"/>
    </xf>
  </cellXfs>
  <cellStyles count="297">
    <cellStyle name="20% - Accent1 2" xfId="9"/>
    <cellStyle name="20% - Accent1 3" xfId="10"/>
    <cellStyle name="20% - Accent1 4" xfId="11"/>
    <cellStyle name="20% - Accent1 5" xfId="12"/>
    <cellStyle name="20% - Accent1 6" xfId="13"/>
    <cellStyle name="20% - Accent1 7" xfId="14"/>
    <cellStyle name="20% - Accent2 2" xfId="15"/>
    <cellStyle name="20% - Accent2 3" xfId="16"/>
    <cellStyle name="20% - Accent2 4" xfId="17"/>
    <cellStyle name="20% - Accent2 5" xfId="18"/>
    <cellStyle name="20% - Accent2 6" xfId="19"/>
    <cellStyle name="20% - Accent2 7" xfId="20"/>
    <cellStyle name="20% - Accent3 2" xfId="21"/>
    <cellStyle name="20% - Accent3 3" xfId="22"/>
    <cellStyle name="20% - Accent3 4" xfId="23"/>
    <cellStyle name="20% - Accent3 5" xfId="24"/>
    <cellStyle name="20% - Accent3 6" xfId="25"/>
    <cellStyle name="20% - Accent3 7" xfId="26"/>
    <cellStyle name="20% - Accent4 2" xfId="27"/>
    <cellStyle name="20% - Accent4 3" xfId="28"/>
    <cellStyle name="20% - Accent4 4" xfId="29"/>
    <cellStyle name="20% - Accent4 5" xfId="30"/>
    <cellStyle name="20% - Accent4 6" xfId="31"/>
    <cellStyle name="20% - Accent4 7" xfId="32"/>
    <cellStyle name="20% - Accent5 2" xfId="33"/>
    <cellStyle name="20% - Accent5 3" xfId="34"/>
    <cellStyle name="20% - Accent5 4" xfId="35"/>
    <cellStyle name="20% - Accent5 5" xfId="36"/>
    <cellStyle name="20% - Accent5 6" xfId="37"/>
    <cellStyle name="20% - Accent5 7" xfId="38"/>
    <cellStyle name="20% - Accent6 2" xfId="39"/>
    <cellStyle name="20% - Accent6 3" xfId="40"/>
    <cellStyle name="20% - Accent6 4" xfId="41"/>
    <cellStyle name="20% - Accent6 5" xfId="42"/>
    <cellStyle name="20% - Accent6 6" xfId="43"/>
    <cellStyle name="20% - Accent6 7" xfId="44"/>
    <cellStyle name="40% - Accent1 2" xfId="45"/>
    <cellStyle name="40% - Accent1 3" xfId="46"/>
    <cellStyle name="40% - Accent1 4" xfId="47"/>
    <cellStyle name="40% - Accent1 5" xfId="48"/>
    <cellStyle name="40% - Accent1 6" xfId="49"/>
    <cellStyle name="40% - Accent1 7" xfId="50"/>
    <cellStyle name="40% - Accent2 2" xfId="51"/>
    <cellStyle name="40% - Accent2 3" xfId="52"/>
    <cellStyle name="40% - Accent2 4" xfId="53"/>
    <cellStyle name="40% - Accent2 5" xfId="54"/>
    <cellStyle name="40% - Accent2 6" xfId="55"/>
    <cellStyle name="40% - Accent2 7" xfId="56"/>
    <cellStyle name="40% - Accent3 2" xfId="57"/>
    <cellStyle name="40% - Accent3 3" xfId="58"/>
    <cellStyle name="40% - Accent3 4" xfId="59"/>
    <cellStyle name="40% - Accent3 5" xfId="60"/>
    <cellStyle name="40% - Accent3 6" xfId="61"/>
    <cellStyle name="40% - Accent3 7" xfId="62"/>
    <cellStyle name="40% - Accent4 2" xfId="63"/>
    <cellStyle name="40% - Accent4 3" xfId="64"/>
    <cellStyle name="40% - Accent4 4" xfId="65"/>
    <cellStyle name="40% - Accent4 5" xfId="66"/>
    <cellStyle name="40% - Accent4 6" xfId="67"/>
    <cellStyle name="40% - Accent4 7" xfId="68"/>
    <cellStyle name="40% - Accent5 2" xfId="69"/>
    <cellStyle name="40% - Accent5 3" xfId="70"/>
    <cellStyle name="40% - Accent5 4" xfId="71"/>
    <cellStyle name="40% - Accent5 5" xfId="72"/>
    <cellStyle name="40% - Accent5 6" xfId="73"/>
    <cellStyle name="40% - Accent5 7" xfId="74"/>
    <cellStyle name="40% - Accent6 2" xfId="75"/>
    <cellStyle name="40% - Accent6 3" xfId="76"/>
    <cellStyle name="40% - Accent6 4" xfId="77"/>
    <cellStyle name="40% - Accent6 5" xfId="78"/>
    <cellStyle name="40% - Accent6 6" xfId="79"/>
    <cellStyle name="40% - Accent6 7" xfId="80"/>
    <cellStyle name="60% - Accent1 2" xfId="81"/>
    <cellStyle name="60% - Accent1 3" xfId="82"/>
    <cellStyle name="60% - Accent1 4" xfId="83"/>
    <cellStyle name="60% - Accent1 5" xfId="84"/>
    <cellStyle name="60% - Accent1 6" xfId="85"/>
    <cellStyle name="60% - Accent1 7" xfId="86"/>
    <cellStyle name="60% - Accent2 2" xfId="87"/>
    <cellStyle name="60% - Accent2 3" xfId="88"/>
    <cellStyle name="60% - Accent2 4" xfId="89"/>
    <cellStyle name="60% - Accent2 5" xfId="90"/>
    <cellStyle name="60% - Accent2 6" xfId="91"/>
    <cellStyle name="60% - Accent2 7" xfId="92"/>
    <cellStyle name="60% - Accent3 2" xfId="93"/>
    <cellStyle name="60% - Accent3 3" xfId="94"/>
    <cellStyle name="60% - Accent3 4" xfId="95"/>
    <cellStyle name="60% - Accent3 5" xfId="96"/>
    <cellStyle name="60% - Accent3 6" xfId="97"/>
    <cellStyle name="60% - Accent3 7" xfId="98"/>
    <cellStyle name="60% - Accent4 2" xfId="99"/>
    <cellStyle name="60% - Accent4 3" xfId="100"/>
    <cellStyle name="60% - Accent4 4" xfId="101"/>
    <cellStyle name="60% - Accent4 5" xfId="102"/>
    <cellStyle name="60% - Accent4 6" xfId="103"/>
    <cellStyle name="60% - Accent4 7" xfId="104"/>
    <cellStyle name="60% - Accent5 2" xfId="105"/>
    <cellStyle name="60% - Accent5 3" xfId="106"/>
    <cellStyle name="60% - Accent5 4" xfId="107"/>
    <cellStyle name="60% - Accent5 5" xfId="108"/>
    <cellStyle name="60% - Accent5 6" xfId="109"/>
    <cellStyle name="60% - Accent5 7" xfId="110"/>
    <cellStyle name="60% - Accent6 2" xfId="111"/>
    <cellStyle name="60% - Accent6 3" xfId="112"/>
    <cellStyle name="60% - Accent6 4" xfId="113"/>
    <cellStyle name="60% - Accent6 5" xfId="114"/>
    <cellStyle name="60% - Accent6 6" xfId="115"/>
    <cellStyle name="60% - Accent6 7" xfId="116"/>
    <cellStyle name="Accent1 2" xfId="117"/>
    <cellStyle name="Accent1 3" xfId="118"/>
    <cellStyle name="Accent1 4" xfId="119"/>
    <cellStyle name="Accent1 5" xfId="120"/>
    <cellStyle name="Accent1 6" xfId="121"/>
    <cellStyle name="Accent1 7" xfId="122"/>
    <cellStyle name="Accent2 2" xfId="123"/>
    <cellStyle name="Accent2 3" xfId="124"/>
    <cellStyle name="Accent2 4" xfId="125"/>
    <cellStyle name="Accent2 5" xfId="126"/>
    <cellStyle name="Accent2 6" xfId="127"/>
    <cellStyle name="Accent2 7" xfId="128"/>
    <cellStyle name="Accent3 2" xfId="129"/>
    <cellStyle name="Accent3 3" xfId="130"/>
    <cellStyle name="Accent3 4" xfId="131"/>
    <cellStyle name="Accent3 5" xfId="132"/>
    <cellStyle name="Accent3 6" xfId="133"/>
    <cellStyle name="Accent3 7" xfId="134"/>
    <cellStyle name="Accent4 2" xfId="135"/>
    <cellStyle name="Accent4 3" xfId="136"/>
    <cellStyle name="Accent4 4" xfId="137"/>
    <cellStyle name="Accent4 5" xfId="138"/>
    <cellStyle name="Accent4 6" xfId="139"/>
    <cellStyle name="Accent4 7" xfId="140"/>
    <cellStyle name="Accent5 2" xfId="141"/>
    <cellStyle name="Accent5 3" xfId="142"/>
    <cellStyle name="Accent5 4" xfId="143"/>
    <cellStyle name="Accent5 5" xfId="144"/>
    <cellStyle name="Accent5 6" xfId="145"/>
    <cellStyle name="Accent5 7" xfId="146"/>
    <cellStyle name="Accent6 2" xfId="147"/>
    <cellStyle name="Accent6 3" xfId="148"/>
    <cellStyle name="Accent6 4" xfId="149"/>
    <cellStyle name="Accent6 5" xfId="150"/>
    <cellStyle name="Accent6 6" xfId="151"/>
    <cellStyle name="Accent6 7" xfId="152"/>
    <cellStyle name="Bad 2" xfId="153"/>
    <cellStyle name="Bad 3" xfId="154"/>
    <cellStyle name="Bad 4" xfId="155"/>
    <cellStyle name="Bad 5" xfId="156"/>
    <cellStyle name="Bad 6" xfId="157"/>
    <cellStyle name="Bad 7" xfId="158"/>
    <cellStyle name="Calculation 2" xfId="159"/>
    <cellStyle name="Calculation 3" xfId="160"/>
    <cellStyle name="Calculation 4" xfId="161"/>
    <cellStyle name="Calculation 5" xfId="162"/>
    <cellStyle name="Calculation 6" xfId="163"/>
    <cellStyle name="Calculation 7" xfId="164"/>
    <cellStyle name="Check Cell 2" xfId="165"/>
    <cellStyle name="Check Cell 3" xfId="166"/>
    <cellStyle name="Check Cell 4" xfId="167"/>
    <cellStyle name="Check Cell 5" xfId="168"/>
    <cellStyle name="Check Cell 6" xfId="169"/>
    <cellStyle name="Check Cell 7" xfId="170"/>
    <cellStyle name="Comma" xfId="1" builtinId="3"/>
    <cellStyle name="Comma [0] 2" xfId="171"/>
    <cellStyle name="Comma [0] 3" xfId="172"/>
    <cellStyle name="Comma [0] 4" xfId="173"/>
    <cellStyle name="Comma [0] 5" xfId="174"/>
    <cellStyle name="Comma [0] 6" xfId="175"/>
    <cellStyle name="Comma [0] 7" xfId="176"/>
    <cellStyle name="Comma [0] 8" xfId="177"/>
    <cellStyle name="Comma 10" xfId="178"/>
    <cellStyle name="Comma 2" xfId="7"/>
    <cellStyle name="Comma 3" xfId="179"/>
    <cellStyle name="Comma 4" xfId="180"/>
    <cellStyle name="Comma 5" xfId="181"/>
    <cellStyle name="Comma 6" xfId="182"/>
    <cellStyle name="Comma 7" xfId="183"/>
    <cellStyle name="Comma 8" xfId="184"/>
    <cellStyle name="Comma 9" xfId="185"/>
    <cellStyle name="Currency" xfId="2" builtinId="4"/>
    <cellStyle name="Currency [0] 2" xfId="186"/>
    <cellStyle name="Currency [0] 3" xfId="187"/>
    <cellStyle name="Currency [0] 4" xfId="188"/>
    <cellStyle name="Currency [0] 5" xfId="189"/>
    <cellStyle name="Currency [0] 6" xfId="190"/>
    <cellStyle name="Currency [0] 7" xfId="191"/>
    <cellStyle name="Currency [0] 8" xfId="192"/>
    <cellStyle name="Currency 10" xfId="193"/>
    <cellStyle name="Currency 2" xfId="8"/>
    <cellStyle name="Currency 3" xfId="194"/>
    <cellStyle name="Currency 4" xfId="195"/>
    <cellStyle name="Currency 5" xfId="196"/>
    <cellStyle name="Currency 6" xfId="197"/>
    <cellStyle name="Currency 7" xfId="198"/>
    <cellStyle name="Currency 8" xfId="199"/>
    <cellStyle name="Currency 9" xfId="200"/>
    <cellStyle name="Explanatory Text 2" xfId="201"/>
    <cellStyle name="Explanatory Text 3" xfId="202"/>
    <cellStyle name="Explanatory Text 4" xfId="203"/>
    <cellStyle name="Explanatory Text 5" xfId="204"/>
    <cellStyle name="Explanatory Text 6" xfId="205"/>
    <cellStyle name="Explanatory Text 7" xfId="206"/>
    <cellStyle name="Good 2" xfId="207"/>
    <cellStyle name="Good 3" xfId="208"/>
    <cellStyle name="Good 4" xfId="209"/>
    <cellStyle name="Good 5" xfId="210"/>
    <cellStyle name="Good 6" xfId="211"/>
    <cellStyle name="Good 7" xfId="212"/>
    <cellStyle name="Heading 1 2" xfId="213"/>
    <cellStyle name="Heading 1 3" xfId="214"/>
    <cellStyle name="Heading 1 4" xfId="215"/>
    <cellStyle name="Heading 1 5" xfId="216"/>
    <cellStyle name="Heading 1 6" xfId="217"/>
    <cellStyle name="Heading 1 7" xfId="218"/>
    <cellStyle name="Heading 2 2" xfId="219"/>
    <cellStyle name="Heading 2 3" xfId="220"/>
    <cellStyle name="Heading 2 4" xfId="221"/>
    <cellStyle name="Heading 2 5" xfId="222"/>
    <cellStyle name="Heading 2 6" xfId="223"/>
    <cellStyle name="Heading 2 7" xfId="224"/>
    <cellStyle name="Heading 3 2" xfId="225"/>
    <cellStyle name="Heading 3 3" xfId="226"/>
    <cellStyle name="Heading 3 4" xfId="227"/>
    <cellStyle name="Heading 3 5" xfId="228"/>
    <cellStyle name="Heading 3 6" xfId="229"/>
    <cellStyle name="Heading 3 7" xfId="230"/>
    <cellStyle name="Heading 4 2" xfId="231"/>
    <cellStyle name="Heading 4 3" xfId="232"/>
    <cellStyle name="Heading 4 4" xfId="233"/>
    <cellStyle name="Heading 4 5" xfId="234"/>
    <cellStyle name="Heading 4 6" xfId="235"/>
    <cellStyle name="Heading 4 7" xfId="236"/>
    <cellStyle name="Input 2" xfId="237"/>
    <cellStyle name="Input 3" xfId="238"/>
    <cellStyle name="Input 4" xfId="239"/>
    <cellStyle name="Input 5" xfId="240"/>
    <cellStyle name="Input 6" xfId="241"/>
    <cellStyle name="Input 7" xfId="242"/>
    <cellStyle name="Linked Cell 2" xfId="243"/>
    <cellStyle name="Linked Cell 3" xfId="244"/>
    <cellStyle name="Linked Cell 4" xfId="245"/>
    <cellStyle name="Linked Cell 5" xfId="246"/>
    <cellStyle name="Linked Cell 6" xfId="247"/>
    <cellStyle name="Linked Cell 7" xfId="248"/>
    <cellStyle name="Neutral 2" xfId="249"/>
    <cellStyle name="Neutral 3" xfId="250"/>
    <cellStyle name="Neutral 4" xfId="251"/>
    <cellStyle name="Neutral 5" xfId="252"/>
    <cellStyle name="Neutral 6" xfId="253"/>
    <cellStyle name="Neutral 7" xfId="254"/>
    <cellStyle name="Normal" xfId="0" builtinId="0"/>
    <cellStyle name="Normal 2" xfId="4"/>
    <cellStyle name="Normal 3" xfId="5"/>
    <cellStyle name="Normal 4" xfId="6"/>
    <cellStyle name="Normal 5" xfId="255"/>
    <cellStyle name="Normal 6" xfId="256"/>
    <cellStyle name="Normal 7" xfId="257"/>
    <cellStyle name="Normal 8" xfId="258"/>
    <cellStyle name="Note 2" xfId="259"/>
    <cellStyle name="Note 3" xfId="260"/>
    <cellStyle name="Note 4" xfId="261"/>
    <cellStyle name="Note 5" xfId="262"/>
    <cellStyle name="Note 6" xfId="263"/>
    <cellStyle name="Note 7" xfId="264"/>
    <cellStyle name="Note 8" xfId="265"/>
    <cellStyle name="Output 2" xfId="266"/>
    <cellStyle name="Output 3" xfId="267"/>
    <cellStyle name="Output 4" xfId="268"/>
    <cellStyle name="Output 5" xfId="269"/>
    <cellStyle name="Output 6" xfId="270"/>
    <cellStyle name="Output 7" xfId="271"/>
    <cellStyle name="Percent" xfId="3" builtinId="5"/>
    <cellStyle name="Percent 2" xfId="272"/>
    <cellStyle name="Percent 3" xfId="273"/>
    <cellStyle name="Percent 4" xfId="274"/>
    <cellStyle name="Percent 5" xfId="275"/>
    <cellStyle name="Percent 6" xfId="276"/>
    <cellStyle name="Percent 7" xfId="277"/>
    <cellStyle name="Percent 8" xfId="278"/>
    <cellStyle name="Title 2" xfId="279"/>
    <cellStyle name="Title 3" xfId="280"/>
    <cellStyle name="Title 4" xfId="281"/>
    <cellStyle name="Title 5" xfId="282"/>
    <cellStyle name="Title 6" xfId="283"/>
    <cellStyle name="Title 7" xfId="284"/>
    <cellStyle name="Total 2" xfId="285"/>
    <cellStyle name="Total 3" xfId="286"/>
    <cellStyle name="Total 4" xfId="287"/>
    <cellStyle name="Total 5" xfId="288"/>
    <cellStyle name="Total 6" xfId="289"/>
    <cellStyle name="Total 7" xfId="290"/>
    <cellStyle name="Warning Text 2" xfId="291"/>
    <cellStyle name="Warning Text 3" xfId="292"/>
    <cellStyle name="Warning Text 4" xfId="293"/>
    <cellStyle name="Warning Text 5" xfId="294"/>
    <cellStyle name="Warning Text 6" xfId="295"/>
    <cellStyle name="Warning Text 7" xfId="296"/>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externalLink" Target="externalLinks/externalLink1.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4"/>
          <c:y val="0.0827448585444757"/>
          <c:w val="0.858195616803999"/>
          <c:h val="0.897312393527241"/>
        </c:manualLayout>
      </c:layout>
      <c:areaChart>
        <c:grouping val="standard"/>
        <c:varyColors val="0"/>
        <c:ser>
          <c:idx val="0"/>
          <c:order val="0"/>
          <c:tx>
            <c:strRef>
              <c:f>'Cash Flow graphs'!$C$11</c:f>
              <c:strCache>
                <c:ptCount val="1"/>
                <c:pt idx="0">
                  <c:v>Projected Monthly Cash Balance</c:v>
                </c:pt>
              </c:strCache>
            </c:strRef>
          </c:tx>
          <c:cat>
            <c:strRef>
              <c:f>'Cash Flow graphs'!$D$10:$O$10</c:f>
              <c:strCache>
                <c:ptCount val="12"/>
                <c:pt idx="0">
                  <c:v>July</c:v>
                </c:pt>
                <c:pt idx="1">
                  <c:v>Aug</c:v>
                </c:pt>
                <c:pt idx="2">
                  <c:v>Sept</c:v>
                </c:pt>
                <c:pt idx="3">
                  <c:v>Oct</c:v>
                </c:pt>
                <c:pt idx="4">
                  <c:v>Nov</c:v>
                </c:pt>
                <c:pt idx="5">
                  <c:v>Dec</c:v>
                </c:pt>
                <c:pt idx="6">
                  <c:v>Jan</c:v>
                </c:pt>
                <c:pt idx="7">
                  <c:v>Feb</c:v>
                </c:pt>
                <c:pt idx="8">
                  <c:v>Mar</c:v>
                </c:pt>
                <c:pt idx="9">
                  <c:v>Apr</c:v>
                </c:pt>
                <c:pt idx="10">
                  <c:v>May</c:v>
                </c:pt>
                <c:pt idx="11">
                  <c:v>June</c:v>
                </c:pt>
              </c:strCache>
            </c:strRef>
          </c:cat>
          <c:val>
            <c:numRef>
              <c:f>'Cash Flow graphs'!$D$11:$O$11</c:f>
              <c:numCache>
                <c:formatCode>"$"#,##0_);[Red]\("$"#,##0\)</c:formatCode>
                <c:ptCount val="12"/>
                <c:pt idx="0">
                  <c:v>71717.08223941734</c:v>
                </c:pt>
                <c:pt idx="1">
                  <c:v>83577.12254675067</c:v>
                </c:pt>
                <c:pt idx="2">
                  <c:v>120125.0116407507</c:v>
                </c:pt>
                <c:pt idx="3">
                  <c:v>119946.4207347507</c:v>
                </c:pt>
                <c:pt idx="4">
                  <c:v>117435.3868979788</c:v>
                </c:pt>
                <c:pt idx="5">
                  <c:v>200167.1509919787</c:v>
                </c:pt>
                <c:pt idx="6">
                  <c:v>186579.2589202376</c:v>
                </c:pt>
                <c:pt idx="7">
                  <c:v>224334.6298342376</c:v>
                </c:pt>
                <c:pt idx="8">
                  <c:v>267798.1784582376</c:v>
                </c:pt>
                <c:pt idx="9">
                  <c:v>269699.4309164965</c:v>
                </c:pt>
                <c:pt idx="10">
                  <c:v>281841.1795404965</c:v>
                </c:pt>
                <c:pt idx="11">
                  <c:v>247530.6524944965</c:v>
                </c:pt>
              </c:numCache>
            </c:numRef>
          </c:val>
        </c:ser>
        <c:dLbls>
          <c:showLegendKey val="0"/>
          <c:showVal val="0"/>
          <c:showCatName val="0"/>
          <c:showSerName val="0"/>
          <c:showPercent val="0"/>
          <c:showBubbleSize val="0"/>
        </c:dLbls>
        <c:axId val="-2109674928"/>
        <c:axId val="-2116910544"/>
      </c:areaChart>
      <c:catAx>
        <c:axId val="-2109674928"/>
        <c:scaling>
          <c:orientation val="minMax"/>
        </c:scaling>
        <c:delete val="0"/>
        <c:axPos val="b"/>
        <c:numFmt formatCode="General" sourceLinked="0"/>
        <c:majorTickMark val="out"/>
        <c:minorTickMark val="none"/>
        <c:tickLblPos val="nextTo"/>
        <c:crossAx val="-2116910544"/>
        <c:crosses val="autoZero"/>
        <c:auto val="1"/>
        <c:lblAlgn val="ctr"/>
        <c:lblOffset val="100"/>
        <c:noMultiLvlLbl val="0"/>
      </c:catAx>
      <c:valAx>
        <c:axId val="-2116910544"/>
        <c:scaling>
          <c:orientation val="minMax"/>
        </c:scaling>
        <c:delete val="0"/>
        <c:axPos val="l"/>
        <c:majorGridlines/>
        <c:numFmt formatCode="&quot;$&quot;#,##0_);[Red]\(&quot;$&quot;#,##0\)" sourceLinked="1"/>
        <c:majorTickMark val="out"/>
        <c:minorTickMark val="none"/>
        <c:tickLblPos val="nextTo"/>
        <c:crossAx val="-2109674928"/>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16489298254164"/>
          <c:y val="0.0905483907534842"/>
          <c:w val="0.861732283464568"/>
          <c:h val="0.848585903506247"/>
        </c:manualLayout>
      </c:layout>
      <c:areaChart>
        <c:grouping val="standard"/>
        <c:varyColors val="0"/>
        <c:ser>
          <c:idx val="0"/>
          <c:order val="0"/>
          <c:tx>
            <c:strRef>
              <c:f>'Cash Flow graphs'!$C$18</c:f>
              <c:strCache>
                <c:ptCount val="1"/>
                <c:pt idx="0">
                  <c:v>Projected Monthly Cash Balance</c:v>
                </c:pt>
              </c:strCache>
            </c:strRef>
          </c:tx>
          <c:val>
            <c:numRef>
              <c:f>'Cash Flow graphs'!$D$18:$O$18</c:f>
            </c:numRef>
          </c:val>
          <c:extLst>
            <c:ext xmlns:c15="http://schemas.microsoft.com/office/drawing/2012/chart" uri="{02D57815-91ED-43cb-92C2-25804820EDAC}">
              <c15:filteredCategoryTitle>
                <c15:cat>
                  <c:multiLvlStrRef>
                    <c:extLst>
                      <c:ext uri="{02D57815-91ED-43cb-92C2-25804820EDAC}">
                        <c15:formulaRef>
                          <c15:sqref>'Cash Flow graphs'!$D$17:$O$17</c15:sqref>
                        </c15:formulaRef>
                      </c:ext>
                    </c:extLst>
                  </c:multiLvlStrRef>
                </c15:cat>
              </c15:filteredCategoryTitle>
            </c:ext>
          </c:extLst>
        </c:ser>
        <c:dLbls>
          <c:showLegendKey val="0"/>
          <c:showVal val="0"/>
          <c:showCatName val="0"/>
          <c:showSerName val="0"/>
          <c:showPercent val="0"/>
          <c:showBubbleSize val="0"/>
        </c:dLbls>
        <c:axId val="-2091260816"/>
        <c:axId val="-2091258048"/>
      </c:areaChart>
      <c:catAx>
        <c:axId val="-2091260816"/>
        <c:scaling>
          <c:orientation val="minMax"/>
        </c:scaling>
        <c:delete val="0"/>
        <c:axPos val="b"/>
        <c:majorTickMark val="out"/>
        <c:minorTickMark val="none"/>
        <c:tickLblPos val="nextTo"/>
        <c:crossAx val="-2091258048"/>
        <c:crosses val="autoZero"/>
        <c:auto val="1"/>
        <c:lblAlgn val="ctr"/>
        <c:lblOffset val="100"/>
        <c:noMultiLvlLbl val="0"/>
      </c:catAx>
      <c:valAx>
        <c:axId val="-2091258048"/>
        <c:scaling>
          <c:orientation val="minMax"/>
        </c:scaling>
        <c:delete val="0"/>
        <c:axPos val="l"/>
        <c:majorGridlines/>
        <c:numFmt formatCode="&quot;$&quot;#,##0_);[Red]\(&quot;$&quot;#,##0\)" sourceLinked="1"/>
        <c:majorTickMark val="out"/>
        <c:minorTickMark val="none"/>
        <c:tickLblPos val="nextTo"/>
        <c:crossAx val="-2091260816"/>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4"/>
          <c:y val="0.086880217627313"/>
          <c:w val="0.858195616803999"/>
          <c:h val="0.855051391159307"/>
        </c:manualLayout>
      </c:layout>
      <c:areaChart>
        <c:grouping val="standard"/>
        <c:varyColors val="0"/>
        <c:ser>
          <c:idx val="0"/>
          <c:order val="0"/>
          <c:tx>
            <c:strRef>
              <c:f>'Cash Flow graphs'!$C$25</c:f>
              <c:strCache>
                <c:ptCount val="1"/>
                <c:pt idx="0">
                  <c:v>Projected Monthly Cash Balance</c:v>
                </c:pt>
              </c:strCache>
            </c:strRef>
          </c:tx>
          <c:val>
            <c:numRef>
              <c:f>'Cash Flow graphs'!$D$25:$O$25</c:f>
            </c:numRef>
          </c:val>
          <c:extLst>
            <c:ext xmlns:c15="http://schemas.microsoft.com/office/drawing/2012/chart" uri="{02D57815-91ED-43cb-92C2-25804820EDAC}">
              <c15:filteredCategoryTitle>
                <c15:cat>
                  <c:multiLvlStrRef>
                    <c:extLst>
                      <c:ext uri="{02D57815-91ED-43cb-92C2-25804820EDAC}">
                        <c15:formulaRef>
                          <c15:sqref>'Cash Flow graphs'!$D$24:$O$24</c15:sqref>
                        </c15:formulaRef>
                      </c:ext>
                    </c:extLst>
                  </c:multiLvlStrRef>
                </c15:cat>
              </c15:filteredCategoryTitle>
            </c:ext>
          </c:extLst>
        </c:ser>
        <c:dLbls>
          <c:showLegendKey val="0"/>
          <c:showVal val="0"/>
          <c:showCatName val="0"/>
          <c:showSerName val="0"/>
          <c:showPercent val="0"/>
          <c:showBubbleSize val="0"/>
        </c:dLbls>
        <c:axId val="-2073726576"/>
        <c:axId val="-2074036192"/>
      </c:areaChart>
      <c:catAx>
        <c:axId val="-2073726576"/>
        <c:scaling>
          <c:orientation val="minMax"/>
        </c:scaling>
        <c:delete val="0"/>
        <c:axPos val="b"/>
        <c:majorTickMark val="out"/>
        <c:minorTickMark val="none"/>
        <c:tickLblPos val="nextTo"/>
        <c:crossAx val="-2074036192"/>
        <c:crosses val="autoZero"/>
        <c:auto val="1"/>
        <c:lblAlgn val="ctr"/>
        <c:lblOffset val="100"/>
        <c:noMultiLvlLbl val="0"/>
      </c:catAx>
      <c:valAx>
        <c:axId val="-2074036192"/>
        <c:scaling>
          <c:orientation val="minMax"/>
        </c:scaling>
        <c:delete val="0"/>
        <c:axPos val="l"/>
        <c:majorGridlines/>
        <c:numFmt formatCode="&quot;$&quot;#,##0_);[Red]\(&quot;$&quot;#,##0\)" sourceLinked="1"/>
        <c:majorTickMark val="out"/>
        <c:minorTickMark val="none"/>
        <c:tickLblPos val="nextTo"/>
        <c:crossAx val="-2073726576"/>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4"/>
          <c:y val="0.0974454579865314"/>
          <c:w val="0.858195616803999"/>
          <c:h val="0.844486150800087"/>
        </c:manualLayout>
      </c:layout>
      <c:areaChart>
        <c:grouping val="standard"/>
        <c:varyColors val="0"/>
        <c:ser>
          <c:idx val="0"/>
          <c:order val="0"/>
          <c:tx>
            <c:strRef>
              <c:f>'Cash Flow graphs'!$C$32</c:f>
              <c:strCache>
                <c:ptCount val="1"/>
                <c:pt idx="0">
                  <c:v>Projected Monthly Cash Balance</c:v>
                </c:pt>
              </c:strCache>
            </c:strRef>
          </c:tx>
          <c:val>
            <c:numRef>
              <c:f>'Cash Flow graphs'!$D$32:$O$32</c:f>
            </c:numRef>
          </c:val>
          <c:extLst>
            <c:ext xmlns:c15="http://schemas.microsoft.com/office/drawing/2012/chart" uri="{02D57815-91ED-43cb-92C2-25804820EDAC}">
              <c15:filteredCategoryTitle>
                <c15:cat>
                  <c:multiLvlStrRef>
                    <c:extLst>
                      <c:ext uri="{02D57815-91ED-43cb-92C2-25804820EDAC}">
                        <c15:formulaRef>
                          <c15:sqref>'Cash Flow graphs'!$D$31:$O$31</c15:sqref>
                        </c15:formulaRef>
                      </c:ext>
                    </c:extLst>
                  </c:multiLvlStrRef>
                </c15:cat>
              </c15:filteredCategoryTitle>
            </c:ext>
          </c:extLst>
        </c:ser>
        <c:dLbls>
          <c:showLegendKey val="0"/>
          <c:showVal val="0"/>
          <c:showCatName val="0"/>
          <c:showSerName val="0"/>
          <c:showPercent val="0"/>
          <c:showBubbleSize val="0"/>
        </c:dLbls>
        <c:axId val="-2073214816"/>
        <c:axId val="-2110933872"/>
      </c:areaChart>
      <c:catAx>
        <c:axId val="-2073214816"/>
        <c:scaling>
          <c:orientation val="minMax"/>
        </c:scaling>
        <c:delete val="0"/>
        <c:axPos val="b"/>
        <c:majorTickMark val="out"/>
        <c:minorTickMark val="none"/>
        <c:tickLblPos val="nextTo"/>
        <c:crossAx val="-2110933872"/>
        <c:crosses val="autoZero"/>
        <c:auto val="1"/>
        <c:lblAlgn val="ctr"/>
        <c:lblOffset val="100"/>
        <c:noMultiLvlLbl val="0"/>
      </c:catAx>
      <c:valAx>
        <c:axId val="-2110933872"/>
        <c:scaling>
          <c:orientation val="minMax"/>
        </c:scaling>
        <c:delete val="0"/>
        <c:axPos val="l"/>
        <c:majorGridlines/>
        <c:numFmt formatCode="&quot;$&quot;#,##0_);[Red]\(&quot;$&quot;#,##0\)" sourceLinked="1"/>
        <c:majorTickMark val="out"/>
        <c:minorTickMark val="none"/>
        <c:tickLblPos val="nextTo"/>
        <c:crossAx val="-2073214816"/>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20025956165074"/>
          <c:y val="0.114312962064576"/>
          <c:w val="0.858195616803999"/>
          <c:h val="0.827802117152418"/>
        </c:manualLayout>
      </c:layout>
      <c:areaChart>
        <c:grouping val="standard"/>
        <c:varyColors val="0"/>
        <c:ser>
          <c:idx val="0"/>
          <c:order val="0"/>
          <c:tx>
            <c:strRef>
              <c:f>'Cash Flow graphs'!$C$39</c:f>
              <c:strCache>
                <c:ptCount val="1"/>
                <c:pt idx="0">
                  <c:v>Projected Monthly Cash Balance</c:v>
                </c:pt>
              </c:strCache>
            </c:strRef>
          </c:tx>
          <c:val>
            <c:numRef>
              <c:f>'Cash Flow graphs'!$D$39:$O$39</c:f>
            </c:numRef>
          </c:val>
          <c:extLst>
            <c:ext xmlns:c15="http://schemas.microsoft.com/office/drawing/2012/chart" uri="{02D57815-91ED-43cb-92C2-25804820EDAC}">
              <c15:filteredCategoryTitle>
                <c15:cat>
                  <c:multiLvlStrRef>
                    <c:extLst>
                      <c:ext uri="{02D57815-91ED-43cb-92C2-25804820EDAC}">
                        <c15:formulaRef>
                          <c15:sqref>'Cash Flow graphs'!$D$38:$O$38</c15:sqref>
                        </c15:formulaRef>
                      </c:ext>
                    </c:extLst>
                  </c:multiLvlStrRef>
                </c15:cat>
              </c15:filteredCategoryTitle>
            </c:ext>
          </c:extLst>
        </c:ser>
        <c:dLbls>
          <c:showLegendKey val="0"/>
          <c:showVal val="0"/>
          <c:showCatName val="0"/>
          <c:showSerName val="0"/>
          <c:showPercent val="0"/>
          <c:showBubbleSize val="0"/>
        </c:dLbls>
        <c:axId val="-2092678272"/>
        <c:axId val="-2111729984"/>
      </c:areaChart>
      <c:catAx>
        <c:axId val="-2092678272"/>
        <c:scaling>
          <c:orientation val="minMax"/>
        </c:scaling>
        <c:delete val="0"/>
        <c:axPos val="b"/>
        <c:majorTickMark val="out"/>
        <c:minorTickMark val="none"/>
        <c:tickLblPos val="nextTo"/>
        <c:crossAx val="-2111729984"/>
        <c:crosses val="autoZero"/>
        <c:auto val="1"/>
        <c:lblAlgn val="ctr"/>
        <c:lblOffset val="100"/>
        <c:noMultiLvlLbl val="0"/>
      </c:catAx>
      <c:valAx>
        <c:axId val="-2111729984"/>
        <c:scaling>
          <c:orientation val="minMax"/>
        </c:scaling>
        <c:delete val="0"/>
        <c:axPos val="l"/>
        <c:majorGridlines/>
        <c:numFmt formatCode="&quot;$&quot;#,##0_);[Red]\(&quot;$&quot;#,##0\)" sourceLinked="1"/>
        <c:majorTickMark val="out"/>
        <c:minorTickMark val="none"/>
        <c:tickLblPos val="nextTo"/>
        <c:crossAx val="-2092678272"/>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overlay val="0"/>
    </c:title>
    <c:autoTitleDeleted val="0"/>
    <c:plotArea>
      <c:layout>
        <c:manualLayout>
          <c:layoutTarget val="inner"/>
          <c:xMode val="edge"/>
          <c:yMode val="edge"/>
          <c:x val="0.118847093715407"/>
          <c:y val="0.0974619878676302"/>
          <c:w val="0.859374488003324"/>
          <c:h val="0.844653091349364"/>
        </c:manualLayout>
      </c:layout>
      <c:areaChart>
        <c:grouping val="standard"/>
        <c:varyColors val="0"/>
        <c:ser>
          <c:idx val="0"/>
          <c:order val="0"/>
          <c:tx>
            <c:strRef>
              <c:f>'Cash Flow graphs'!$C$46</c:f>
              <c:strCache>
                <c:ptCount val="1"/>
                <c:pt idx="0">
                  <c:v>Projected Monthly Cash Balance</c:v>
                </c:pt>
              </c:strCache>
            </c:strRef>
          </c:tx>
          <c:val>
            <c:numRef>
              <c:f>'Cash Flow graphs'!$D$46:$O$46</c:f>
            </c:numRef>
          </c:val>
          <c:extLst>
            <c:ext xmlns:c15="http://schemas.microsoft.com/office/drawing/2012/chart" uri="{02D57815-91ED-43cb-92C2-25804820EDAC}">
              <c15:filteredCategoryTitle>
                <c15:cat>
                  <c:multiLvlStrRef>
                    <c:extLst>
                      <c:ext uri="{02D57815-91ED-43cb-92C2-25804820EDAC}">
                        <c15:formulaRef>
                          <c15:sqref>'Cash Flow graphs'!$D$45:$O$45</c15:sqref>
                        </c15:formulaRef>
                      </c:ext>
                    </c:extLst>
                  </c:multiLvlStrRef>
                </c15:cat>
              </c15:filteredCategoryTitle>
            </c:ext>
          </c:extLst>
        </c:ser>
        <c:dLbls>
          <c:showLegendKey val="0"/>
          <c:showVal val="0"/>
          <c:showCatName val="0"/>
          <c:showSerName val="0"/>
          <c:showPercent val="0"/>
          <c:showBubbleSize val="0"/>
        </c:dLbls>
        <c:axId val="-2110945568"/>
        <c:axId val="-2110938784"/>
      </c:areaChart>
      <c:catAx>
        <c:axId val="-2110945568"/>
        <c:scaling>
          <c:orientation val="minMax"/>
        </c:scaling>
        <c:delete val="0"/>
        <c:axPos val="b"/>
        <c:majorTickMark val="out"/>
        <c:minorTickMark val="none"/>
        <c:tickLblPos val="nextTo"/>
        <c:crossAx val="-2110938784"/>
        <c:crosses val="autoZero"/>
        <c:auto val="1"/>
        <c:lblAlgn val="ctr"/>
        <c:lblOffset val="100"/>
        <c:noMultiLvlLbl val="0"/>
      </c:catAx>
      <c:valAx>
        <c:axId val="-2110938784"/>
        <c:scaling>
          <c:orientation val="minMax"/>
        </c:scaling>
        <c:delete val="0"/>
        <c:axPos val="l"/>
        <c:majorGridlines/>
        <c:numFmt formatCode="&quot;$&quot;#,##0_);[Red]\(&quot;$&quot;#,##0\)" sourceLinked="1"/>
        <c:majorTickMark val="out"/>
        <c:minorTickMark val="none"/>
        <c:tickLblPos val="nextTo"/>
        <c:crossAx val="-2110945568"/>
        <c:crosses val="autoZero"/>
        <c:crossBetween val="midCat"/>
      </c:valAx>
    </c:plotArea>
    <c:plotVisOnly val="1"/>
    <c:dispBlanksAs val="zero"/>
    <c:showDLblsOverMax val="0"/>
  </c:chart>
  <c:spPr>
    <a:ln cap="sq">
      <a:round/>
    </a:ln>
  </c:spPr>
  <c:printSettings>
    <c:headerFooter/>
    <c:pageMargins b="0.750000000000008" l="0.700000000000001" r="0.700000000000001" t="0.750000000000008"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0.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image" Target="../media/image1.tiff"/><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1003300</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9658350" y="0"/>
          <a:ext cx="1003300" cy="733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1003300</xdr:colOff>
      <xdr:row>3</xdr:row>
      <xdr:rowOff>0</xdr:rowOff>
    </xdr:to>
    <xdr:pic>
      <xdr:nvPicPr>
        <xdr:cNvPr id="5"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1003300</xdr:colOff>
      <xdr:row>3</xdr:row>
      <xdr:rowOff>0</xdr:rowOff>
    </xdr:to>
    <xdr:pic>
      <xdr:nvPicPr>
        <xdr:cNvPr id="5"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1003300</xdr:colOff>
      <xdr:row>3</xdr:row>
      <xdr:rowOff>0</xdr:rowOff>
    </xdr:to>
    <xdr:pic>
      <xdr:nvPicPr>
        <xdr:cNvPr id="5"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174625</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5163800" y="0"/>
          <a:ext cx="1003300"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1003300</xdr:colOff>
      <xdr:row>3</xdr:row>
      <xdr:rowOff>0</xdr:rowOff>
    </xdr:to>
    <xdr:pic>
      <xdr:nvPicPr>
        <xdr:cNvPr id="3"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8972550" y="0"/>
          <a:ext cx="1003300" cy="733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457199</xdr:colOff>
      <xdr:row>6</xdr:row>
      <xdr:rowOff>9525</xdr:rowOff>
    </xdr:from>
    <xdr:to>
      <xdr:col>14</xdr:col>
      <xdr:colOff>781049</xdr:colOff>
      <xdr:row>8</xdr:row>
      <xdr:rowOff>1981200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457199</xdr:colOff>
      <xdr:row>13</xdr:row>
      <xdr:rowOff>9525</xdr:rowOff>
    </xdr:from>
    <xdr:to>
      <xdr:col>14</xdr:col>
      <xdr:colOff>781049</xdr:colOff>
      <xdr:row>15</xdr:row>
      <xdr:rowOff>1981200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457199</xdr:colOff>
      <xdr:row>20</xdr:row>
      <xdr:rowOff>9525</xdr:rowOff>
    </xdr:from>
    <xdr:to>
      <xdr:col>14</xdr:col>
      <xdr:colOff>781049</xdr:colOff>
      <xdr:row>22</xdr:row>
      <xdr:rowOff>1981200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457199</xdr:colOff>
      <xdr:row>27</xdr:row>
      <xdr:rowOff>9525</xdr:rowOff>
    </xdr:from>
    <xdr:to>
      <xdr:col>14</xdr:col>
      <xdr:colOff>781049</xdr:colOff>
      <xdr:row>29</xdr:row>
      <xdr:rowOff>1981200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457199</xdr:colOff>
      <xdr:row>34</xdr:row>
      <xdr:rowOff>9525</xdr:rowOff>
    </xdr:from>
    <xdr:to>
      <xdr:col>14</xdr:col>
      <xdr:colOff>781049</xdr:colOff>
      <xdr:row>36</xdr:row>
      <xdr:rowOff>1981200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457199</xdr:colOff>
      <xdr:row>41</xdr:row>
      <xdr:rowOff>9525</xdr:rowOff>
    </xdr:from>
    <xdr:to>
      <xdr:col>14</xdr:col>
      <xdr:colOff>781049</xdr:colOff>
      <xdr:row>43</xdr:row>
      <xdr:rowOff>1981200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0</xdr:row>
      <xdr:rowOff>0</xdr:rowOff>
    </xdr:from>
    <xdr:to>
      <xdr:col>14</xdr:col>
      <xdr:colOff>174625</xdr:colOff>
      <xdr:row>3</xdr:row>
      <xdr:rowOff>0</xdr:rowOff>
    </xdr:to>
    <xdr:pic>
      <xdr:nvPicPr>
        <xdr:cNvPr id="8" name="Picture 9" descr="C:\Users\Ryan\Desktop\CSMC\Marketing\Logos\174471_logo_final.tif"/>
        <xdr:cNvPicPr>
          <a:picLocks noChangeAspect="1" noChangeArrowheads="1"/>
        </xdr:cNvPicPr>
      </xdr:nvPicPr>
      <xdr:blipFill>
        <a:blip xmlns:r="http://schemas.openxmlformats.org/officeDocument/2006/relationships" r:embed="rId7" cstate="print"/>
        <a:srcRect/>
        <a:stretch>
          <a:fillRect/>
        </a:stretch>
      </xdr:blipFill>
      <xdr:spPr bwMode="auto">
        <a:xfrm>
          <a:off x="10344150" y="0"/>
          <a:ext cx="1003300"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1003300</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7515225" y="0"/>
          <a:ext cx="1003300" cy="733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1003300</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8972550" y="0"/>
          <a:ext cx="1003300" cy="733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0</xdr:row>
      <xdr:rowOff>38100</xdr:rowOff>
    </xdr:from>
    <xdr:to>
      <xdr:col>10</xdr:col>
      <xdr:colOff>933450</xdr:colOff>
      <xdr:row>3</xdr:row>
      <xdr:rowOff>209550</xdr:rowOff>
    </xdr:to>
    <xdr:sp macro="" textlink="">
      <xdr:nvSpPr>
        <xdr:cNvPr id="2" name="TextBox 1"/>
        <xdr:cNvSpPr txBox="1"/>
      </xdr:nvSpPr>
      <xdr:spPr>
        <a:xfrm>
          <a:off x="1838325" y="38100"/>
          <a:ext cx="56102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4"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twoCellAnchor>
    <xdr:from>
      <xdr:col>4</xdr:col>
      <xdr:colOff>28575</xdr:colOff>
      <xdr:row>0</xdr:row>
      <xdr:rowOff>38100</xdr:rowOff>
    </xdr:from>
    <xdr:to>
      <xdr:col>10</xdr:col>
      <xdr:colOff>933450</xdr:colOff>
      <xdr:row>3</xdr:row>
      <xdr:rowOff>209550</xdr:rowOff>
    </xdr:to>
    <xdr:sp macro="" textlink="">
      <xdr:nvSpPr>
        <xdr:cNvPr id="5" name="TextBox 4"/>
        <xdr:cNvSpPr txBox="1"/>
      </xdr:nvSpPr>
      <xdr:spPr>
        <a:xfrm>
          <a:off x="2152650" y="38100"/>
          <a:ext cx="61626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6"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0850225" y="0"/>
          <a:ext cx="1003300" cy="733425"/>
        </a:xfrm>
        <a:prstGeom prst="rect">
          <a:avLst/>
        </a:prstGeom>
        <a:noFill/>
        <a:ln w="9525">
          <a:noFill/>
          <a:miter lim="800000"/>
          <a:headEnd/>
          <a:tailEnd/>
        </a:ln>
      </xdr:spPr>
    </xdr:pic>
    <xdr:clientData/>
  </xdr:twoCellAnchor>
  <xdr:twoCellAnchor>
    <xdr:from>
      <xdr:col>4</xdr:col>
      <xdr:colOff>28575</xdr:colOff>
      <xdr:row>0</xdr:row>
      <xdr:rowOff>38100</xdr:rowOff>
    </xdr:from>
    <xdr:to>
      <xdr:col>10</xdr:col>
      <xdr:colOff>933450</xdr:colOff>
      <xdr:row>3</xdr:row>
      <xdr:rowOff>209550</xdr:rowOff>
    </xdr:to>
    <xdr:sp macro="" textlink="">
      <xdr:nvSpPr>
        <xdr:cNvPr id="7" name="TextBox 6"/>
        <xdr:cNvSpPr txBox="1"/>
      </xdr:nvSpPr>
      <xdr:spPr>
        <a:xfrm>
          <a:off x="2381250" y="38100"/>
          <a:ext cx="572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8"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0640675" y="0"/>
          <a:ext cx="1003300" cy="733425"/>
        </a:xfrm>
        <a:prstGeom prst="rect">
          <a:avLst/>
        </a:prstGeom>
        <a:noFill/>
        <a:ln w="9525">
          <a:noFill/>
          <a:miter lim="800000"/>
          <a:headEnd/>
          <a:tailEnd/>
        </a:ln>
      </xdr:spPr>
    </xdr:pic>
    <xdr:clientData/>
  </xdr:twoCellAnchor>
  <xdr:twoCellAnchor>
    <xdr:from>
      <xdr:col>4</xdr:col>
      <xdr:colOff>28575</xdr:colOff>
      <xdr:row>0</xdr:row>
      <xdr:rowOff>38100</xdr:rowOff>
    </xdr:from>
    <xdr:to>
      <xdr:col>10</xdr:col>
      <xdr:colOff>933450</xdr:colOff>
      <xdr:row>3</xdr:row>
      <xdr:rowOff>209550</xdr:rowOff>
    </xdr:to>
    <xdr:sp macro="" textlink="">
      <xdr:nvSpPr>
        <xdr:cNvPr id="9" name="TextBox 8"/>
        <xdr:cNvSpPr txBox="1"/>
      </xdr:nvSpPr>
      <xdr:spPr>
        <a:xfrm>
          <a:off x="2066925" y="38100"/>
          <a:ext cx="56102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10"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0212050" y="0"/>
          <a:ext cx="1003300" cy="733425"/>
        </a:xfrm>
        <a:prstGeom prst="rect">
          <a:avLst/>
        </a:prstGeom>
        <a:noFill/>
        <a:ln w="9525">
          <a:noFill/>
          <a:miter lim="800000"/>
          <a:headEnd/>
          <a:tailEnd/>
        </a:ln>
      </xdr:spPr>
    </xdr:pic>
    <xdr:clientData/>
  </xdr:twoCellAnchor>
  <xdr:twoCellAnchor>
    <xdr:from>
      <xdr:col>4</xdr:col>
      <xdr:colOff>28575</xdr:colOff>
      <xdr:row>0</xdr:row>
      <xdr:rowOff>38100</xdr:rowOff>
    </xdr:from>
    <xdr:to>
      <xdr:col>10</xdr:col>
      <xdr:colOff>933450</xdr:colOff>
      <xdr:row>3</xdr:row>
      <xdr:rowOff>209550</xdr:rowOff>
    </xdr:to>
    <xdr:sp macro="" textlink="">
      <xdr:nvSpPr>
        <xdr:cNvPr id="11" name="TextBox 10"/>
        <xdr:cNvSpPr txBox="1"/>
      </xdr:nvSpPr>
      <xdr:spPr>
        <a:xfrm>
          <a:off x="2152650" y="38100"/>
          <a:ext cx="572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1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0412075" y="0"/>
          <a:ext cx="1003300" cy="733425"/>
        </a:xfrm>
        <a:prstGeom prst="rect">
          <a:avLst/>
        </a:prstGeom>
        <a:noFill/>
        <a:ln w="9525">
          <a:noFill/>
          <a:miter lim="800000"/>
          <a:headEnd/>
          <a:tailEnd/>
        </a:ln>
      </xdr:spPr>
    </xdr:pic>
    <xdr:clientData/>
  </xdr:twoCellAnchor>
  <xdr:twoCellAnchor>
    <xdr:from>
      <xdr:col>4</xdr:col>
      <xdr:colOff>28575</xdr:colOff>
      <xdr:row>0</xdr:row>
      <xdr:rowOff>38100</xdr:rowOff>
    </xdr:from>
    <xdr:to>
      <xdr:col>10</xdr:col>
      <xdr:colOff>933450</xdr:colOff>
      <xdr:row>3</xdr:row>
      <xdr:rowOff>209550</xdr:rowOff>
    </xdr:to>
    <xdr:sp macro="" textlink="">
      <xdr:nvSpPr>
        <xdr:cNvPr id="13" name="TextBox 12"/>
        <xdr:cNvSpPr txBox="1"/>
      </xdr:nvSpPr>
      <xdr:spPr>
        <a:xfrm>
          <a:off x="2314575" y="38100"/>
          <a:ext cx="56102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u="sng">
              <a:latin typeface="Times New Roman" pitchFamily="18" charset="0"/>
              <a:cs typeface="Times New Roman" pitchFamily="18" charset="0"/>
            </a:rPr>
            <a:t>Instructions</a:t>
          </a:r>
          <a:r>
            <a:rPr lang="en-US" sz="900">
              <a:latin typeface="Times New Roman" pitchFamily="18" charset="0"/>
              <a:cs typeface="Times New Roman" pitchFamily="18" charset="0"/>
            </a:rPr>
            <a:t>:  These</a:t>
          </a:r>
          <a:r>
            <a:rPr lang="en-US" sz="900" baseline="0">
              <a:latin typeface="Times New Roman" pitchFamily="18" charset="0"/>
              <a:cs typeface="Times New Roman" pitchFamily="18" charset="0"/>
            </a:rPr>
            <a:t> employee input </a:t>
          </a:r>
          <a:r>
            <a:rPr lang="en-US" sz="900">
              <a:latin typeface="Times New Roman" pitchFamily="18" charset="0"/>
              <a:cs typeface="Times New Roman" pitchFamily="18" charset="0"/>
            </a:rPr>
            <a:t> tabs are designed to model out 'typical'</a:t>
          </a:r>
          <a:r>
            <a:rPr lang="en-US" sz="900" baseline="0">
              <a:latin typeface="Times New Roman" pitchFamily="18" charset="0"/>
              <a:cs typeface="Times New Roman" pitchFamily="18" charset="0"/>
            </a:rPr>
            <a:t> employee compensation.  Unusual compensation programs may require modification to the structure or formulas.  Usually, you should  only have to modify the red input items and copy down the black formulas from row 7 to match how many employees you  </a:t>
          </a:r>
          <a:r>
            <a:rPr lang="en-US" sz="900" baseline="0">
              <a:solidFill>
                <a:schemeClr val="dk1"/>
              </a:solidFill>
              <a:latin typeface="Times New Roman" pitchFamily="18" charset="0"/>
              <a:ea typeface="+mn-ea"/>
              <a:cs typeface="Times New Roman" pitchFamily="18" charset="0"/>
            </a:rPr>
            <a:t>have.  The SACS code per employee in column B is essential.  </a:t>
          </a:r>
          <a:r>
            <a:rPr lang="en-US" sz="900" baseline="0">
              <a:latin typeface="Times New Roman" pitchFamily="18" charset="0"/>
              <a:cs typeface="Times New Roman" pitchFamily="18" charset="0"/>
            </a:rPr>
            <a:t>Please do not add or erase whole rows - the below can handle 50 employees.  Summary information is shown in rows 58 through 60.  Feel free to erase this text box for cleaner printing / presentation.</a:t>
          </a:r>
          <a:endParaRPr lang="en-US" sz="900">
            <a:latin typeface="Times New Roman" pitchFamily="18" charset="0"/>
            <a:cs typeface="Times New Roman" pitchFamily="18" charset="0"/>
          </a:endParaRPr>
        </a:p>
      </xdr:txBody>
    </xdr:sp>
    <xdr:clientData/>
  </xdr:twoCellAnchor>
  <xdr:twoCellAnchor editAs="oneCell">
    <xdr:from>
      <xdr:col>23</xdr:col>
      <xdr:colOff>0</xdr:colOff>
      <xdr:row>0</xdr:row>
      <xdr:rowOff>0</xdr:rowOff>
    </xdr:from>
    <xdr:to>
      <xdr:col>23</xdr:col>
      <xdr:colOff>1003300</xdr:colOff>
      <xdr:row>3</xdr:row>
      <xdr:rowOff>0</xdr:rowOff>
    </xdr:to>
    <xdr:pic>
      <xdr:nvPicPr>
        <xdr:cNvPr id="14"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0459700" y="0"/>
          <a:ext cx="1003300"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479425</xdr:colOff>
      <xdr:row>3</xdr:row>
      <xdr:rowOff>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0896600" y="0"/>
          <a:ext cx="1003300" cy="733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18</xdr:col>
      <xdr:colOff>174625</xdr:colOff>
      <xdr:row>3</xdr:row>
      <xdr:rowOff>19050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5163800" y="19050"/>
          <a:ext cx="1003300"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1003300</xdr:colOff>
      <xdr:row>3</xdr:row>
      <xdr:rowOff>0</xdr:rowOff>
    </xdr:to>
    <xdr:pic>
      <xdr:nvPicPr>
        <xdr:cNvPr id="4"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24717375" y="0"/>
          <a:ext cx="1003300" cy="733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18</xdr:col>
      <xdr:colOff>479425</xdr:colOff>
      <xdr:row>4</xdr:row>
      <xdr:rowOff>57150</xdr:rowOff>
    </xdr:to>
    <xdr:pic>
      <xdr:nvPicPr>
        <xdr:cNvPr id="2" name="Picture 9" descr="C:\Users\Ryan\Desktop\CSMC\Marketing\Logos\174471_logo_final.tif"/>
        <xdr:cNvPicPr>
          <a:picLocks noChangeAspect="1" noChangeArrowheads="1"/>
        </xdr:cNvPicPr>
      </xdr:nvPicPr>
      <xdr:blipFill>
        <a:blip xmlns:r="http://schemas.openxmlformats.org/officeDocument/2006/relationships" r:embed="rId1" cstate="print"/>
        <a:srcRect/>
        <a:stretch>
          <a:fillRect/>
        </a:stretch>
      </xdr:blipFill>
      <xdr:spPr bwMode="auto">
        <a:xfrm>
          <a:off x="10896600" y="257175"/>
          <a:ext cx="1003300"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2016/AP/C:\Users\Miles\AppData\Local\Microsoft\Windows\Temporary%20Internet%20Files\Content.Outlook\060023XY\SACS%20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Objec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4" Type="http://schemas.openxmlformats.org/officeDocument/2006/relationships/comments" Target="../comments8.xml"/><Relationship Id="rId1" Type="http://schemas.openxmlformats.org/officeDocument/2006/relationships/printerSettings" Target="../printerSettings/printerSettings11.bin"/><Relationship Id="rId2"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9.xml"/><Relationship Id="rId1" Type="http://schemas.openxmlformats.org/officeDocument/2006/relationships/printerSettings" Target="../printerSettings/printerSettings12.bin"/><Relationship Id="rId2"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4" Type="http://schemas.openxmlformats.org/officeDocument/2006/relationships/comments" Target="../comments10.xml"/><Relationship Id="rId1" Type="http://schemas.openxmlformats.org/officeDocument/2006/relationships/printerSettings" Target="../printerSettings/printerSettings13.bin"/><Relationship Id="rId2"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4" Type="http://schemas.openxmlformats.org/officeDocument/2006/relationships/comments" Target="../comments11.xml"/><Relationship Id="rId1" Type="http://schemas.openxmlformats.org/officeDocument/2006/relationships/printerSettings" Target="../printerSettings/printerSettings14.bin"/><Relationship Id="rId2"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4" Type="http://schemas.openxmlformats.org/officeDocument/2006/relationships/comments" Target="../comments12.xml"/><Relationship Id="rId1" Type="http://schemas.openxmlformats.org/officeDocument/2006/relationships/printerSettings" Target="../printerSettings/printerSettings15.bin"/><Relationship Id="rId2"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4" Type="http://schemas.openxmlformats.org/officeDocument/2006/relationships/comments" Target="../comments13.xml"/><Relationship Id="rId1" Type="http://schemas.openxmlformats.org/officeDocument/2006/relationships/printerSettings" Target="../printerSettings/printerSettings16.bin"/><Relationship Id="rId2"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4" Type="http://schemas.openxmlformats.org/officeDocument/2006/relationships/comments" Target="../comments14.xml"/><Relationship Id="rId1" Type="http://schemas.openxmlformats.org/officeDocument/2006/relationships/printerSettings" Target="../printerSettings/printerSettings17.bin"/><Relationship Id="rId2"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4" Type="http://schemas.openxmlformats.org/officeDocument/2006/relationships/comments" Target="../comments15.xml"/><Relationship Id="rId1" Type="http://schemas.openxmlformats.org/officeDocument/2006/relationships/printerSettings" Target="../printerSettings/printerSettings18.bin"/><Relationship Id="rId2"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4" Type="http://schemas.openxmlformats.org/officeDocument/2006/relationships/comments" Target="../comments16.xml"/><Relationship Id="rId1" Type="http://schemas.openxmlformats.org/officeDocument/2006/relationships/printerSettings" Target="../printerSettings/printerSettings19.bin"/><Relationship Id="rId2"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4" Type="http://schemas.openxmlformats.org/officeDocument/2006/relationships/comments" Target="../comments17.xml"/><Relationship Id="rId1" Type="http://schemas.openxmlformats.org/officeDocument/2006/relationships/printerSettings" Target="../printerSettings/printerSettings20.bin"/><Relationship Id="rId2"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4" Type="http://schemas.openxmlformats.org/officeDocument/2006/relationships/comments" Target="../comments18.xml"/><Relationship Id="rId1" Type="http://schemas.openxmlformats.org/officeDocument/2006/relationships/printerSettings" Target="../printerSettings/printerSettings21.bin"/><Relationship Id="rId2"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4" Type="http://schemas.openxmlformats.org/officeDocument/2006/relationships/comments" Target="../comments19.xml"/><Relationship Id="rId1" Type="http://schemas.openxmlformats.org/officeDocument/2006/relationships/printerSettings" Target="../printerSettings/printerSettings22.bin"/><Relationship Id="rId2"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 Id="rId2"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4.xml"/><Relationship Id="rId1" Type="http://schemas.openxmlformats.org/officeDocument/2006/relationships/printerSettings" Target="../printerSettings/printerSettings6.bin"/><Relationship Id="rId2"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4" Type="http://schemas.openxmlformats.org/officeDocument/2006/relationships/comments" Target="../comments5.xml"/><Relationship Id="rId1" Type="http://schemas.openxmlformats.org/officeDocument/2006/relationships/printerSettings" Target="../printerSettings/printerSettings7.bin"/><Relationship Id="rId2"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6.xml"/><Relationship Id="rId1" Type="http://schemas.openxmlformats.org/officeDocument/2006/relationships/printerSettings" Target="../printerSettings/printerSettings8.bin"/><Relationship Id="rId2"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4" Type="http://schemas.openxmlformats.org/officeDocument/2006/relationships/comments" Target="../comments7.xml"/><Relationship Id="rId1" Type="http://schemas.openxmlformats.org/officeDocument/2006/relationships/printerSettings" Target="../printerSettings/printerSettings9.bin"/><Relationship Id="rId2"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T41"/>
  <sheetViews>
    <sheetView tabSelected="1" workbookViewId="0">
      <pane xSplit="3" ySplit="6" topLeftCell="D7" activePane="bottomRight" state="frozen"/>
      <selection activeCell="G18" sqref="G18"/>
      <selection pane="topRight" activeCell="G18" sqref="G18"/>
      <selection pane="bottomLeft" activeCell="G18" sqref="G18"/>
      <selection pane="bottomRight" activeCell="F24" sqref="F24"/>
    </sheetView>
  </sheetViews>
  <sheetFormatPr baseColWidth="10" defaultColWidth="8.83203125" defaultRowHeight="16" x14ac:dyDescent="0.2"/>
  <cols>
    <col min="1" max="1" width="5.6640625" style="35" customWidth="1"/>
    <col min="2" max="2" width="6.33203125" style="40" customWidth="1"/>
    <col min="3" max="3" width="42.5" style="1" customWidth="1"/>
    <col min="4" max="4" width="17" style="31" customWidth="1"/>
    <col min="5" max="5" width="7.5" style="306" customWidth="1"/>
    <col min="6" max="6" width="15.83203125" style="31" customWidth="1"/>
    <col min="7" max="7" width="7.5" style="306" customWidth="1"/>
    <col min="8" max="8" width="17" style="31" customWidth="1"/>
    <col min="9" max="9" width="7.5" style="306" customWidth="1"/>
    <col min="10" max="10" width="16.6640625" style="31" customWidth="1"/>
    <col min="11" max="11" width="7.5" style="306" customWidth="1"/>
    <col min="12" max="12" width="17.5" style="31" customWidth="1"/>
    <col min="13" max="13" width="8.5" style="306" bestFit="1" customWidth="1"/>
    <col min="14" max="15" width="8.83203125" style="31"/>
    <col min="21" max="261" width="8.83203125" style="1"/>
    <col min="262" max="262" width="22.83203125" style="1" customWidth="1"/>
    <col min="263" max="517" width="8.83203125" style="1"/>
    <col min="518" max="518" width="22.83203125" style="1" customWidth="1"/>
    <col min="519" max="773" width="8.83203125" style="1"/>
    <col min="774" max="774" width="22.83203125" style="1" customWidth="1"/>
    <col min="775" max="1029" width="8.83203125" style="1"/>
    <col min="1030" max="1030" width="22.83203125" style="1" customWidth="1"/>
    <col min="1031" max="1285" width="8.83203125" style="1"/>
    <col min="1286" max="1286" width="22.83203125" style="1" customWidth="1"/>
    <col min="1287" max="1541" width="8.83203125" style="1"/>
    <col min="1542" max="1542" width="22.83203125" style="1" customWidth="1"/>
    <col min="1543" max="1797" width="8.83203125" style="1"/>
    <col min="1798" max="1798" width="22.83203125" style="1" customWidth="1"/>
    <col min="1799" max="2053" width="8.83203125" style="1"/>
    <col min="2054" max="2054" width="22.83203125" style="1" customWidth="1"/>
    <col min="2055" max="2309" width="8.83203125" style="1"/>
    <col min="2310" max="2310" width="22.83203125" style="1" customWidth="1"/>
    <col min="2311" max="2565" width="8.83203125" style="1"/>
    <col min="2566" max="2566" width="22.83203125" style="1" customWidth="1"/>
    <col min="2567" max="2821" width="8.83203125" style="1"/>
    <col min="2822" max="2822" width="22.83203125" style="1" customWidth="1"/>
    <col min="2823" max="3077" width="8.83203125" style="1"/>
    <col min="3078" max="3078" width="22.83203125" style="1" customWidth="1"/>
    <col min="3079" max="3333" width="8.83203125" style="1"/>
    <col min="3334" max="3334" width="22.83203125" style="1" customWidth="1"/>
    <col min="3335" max="3589" width="8.83203125" style="1"/>
    <col min="3590" max="3590" width="22.83203125" style="1" customWidth="1"/>
    <col min="3591" max="3845" width="8.83203125" style="1"/>
    <col min="3846" max="3846" width="22.83203125" style="1" customWidth="1"/>
    <col min="3847" max="4101" width="8.83203125" style="1"/>
    <col min="4102" max="4102" width="22.83203125" style="1" customWidth="1"/>
    <col min="4103" max="4357" width="8.83203125" style="1"/>
    <col min="4358" max="4358" width="22.83203125" style="1" customWidth="1"/>
    <col min="4359" max="4613" width="8.83203125" style="1"/>
    <col min="4614" max="4614" width="22.83203125" style="1" customWidth="1"/>
    <col min="4615" max="4869" width="8.83203125" style="1"/>
    <col min="4870" max="4870" width="22.83203125" style="1" customWidth="1"/>
    <col min="4871" max="5125" width="8.83203125" style="1"/>
    <col min="5126" max="5126" width="22.83203125" style="1" customWidth="1"/>
    <col min="5127" max="5381" width="8.83203125" style="1"/>
    <col min="5382" max="5382" width="22.83203125" style="1" customWidth="1"/>
    <col min="5383" max="5637" width="8.83203125" style="1"/>
    <col min="5638" max="5638" width="22.83203125" style="1" customWidth="1"/>
    <col min="5639" max="5893" width="8.83203125" style="1"/>
    <col min="5894" max="5894" width="22.83203125" style="1" customWidth="1"/>
    <col min="5895" max="6149" width="8.83203125" style="1"/>
    <col min="6150" max="6150" width="22.83203125" style="1" customWidth="1"/>
    <col min="6151" max="6405" width="8.83203125" style="1"/>
    <col min="6406" max="6406" width="22.83203125" style="1" customWidth="1"/>
    <col min="6407" max="6661" width="8.83203125" style="1"/>
    <col min="6662" max="6662" width="22.83203125" style="1" customWidth="1"/>
    <col min="6663" max="6917" width="8.83203125" style="1"/>
    <col min="6918" max="6918" width="22.83203125" style="1" customWidth="1"/>
    <col min="6919" max="7173" width="8.83203125" style="1"/>
    <col min="7174" max="7174" width="22.83203125" style="1" customWidth="1"/>
    <col min="7175" max="7429" width="8.83203125" style="1"/>
    <col min="7430" max="7430" width="22.83203125" style="1" customWidth="1"/>
    <col min="7431" max="7685" width="8.83203125" style="1"/>
    <col min="7686" max="7686" width="22.83203125" style="1" customWidth="1"/>
    <col min="7687" max="7941" width="8.83203125" style="1"/>
    <col min="7942" max="7942" width="22.83203125" style="1" customWidth="1"/>
    <col min="7943" max="8197" width="8.83203125" style="1"/>
    <col min="8198" max="8198" width="22.83203125" style="1" customWidth="1"/>
    <col min="8199" max="8453" width="8.83203125" style="1"/>
    <col min="8454" max="8454" width="22.83203125" style="1" customWidth="1"/>
    <col min="8455" max="8709" width="8.83203125" style="1"/>
    <col min="8710" max="8710" width="22.83203125" style="1" customWidth="1"/>
    <col min="8711" max="8965" width="8.83203125" style="1"/>
    <col min="8966" max="8966" width="22.83203125" style="1" customWidth="1"/>
    <col min="8967" max="9221" width="8.83203125" style="1"/>
    <col min="9222" max="9222" width="22.83203125" style="1" customWidth="1"/>
    <col min="9223" max="9477" width="8.83203125" style="1"/>
    <col min="9478" max="9478" width="22.83203125" style="1" customWidth="1"/>
    <col min="9479" max="9733" width="8.83203125" style="1"/>
    <col min="9734" max="9734" width="22.83203125" style="1" customWidth="1"/>
    <col min="9735" max="9989" width="8.83203125" style="1"/>
    <col min="9990" max="9990" width="22.83203125" style="1" customWidth="1"/>
    <col min="9991" max="10245" width="8.83203125" style="1"/>
    <col min="10246" max="10246" width="22.83203125" style="1" customWidth="1"/>
    <col min="10247" max="10501" width="8.83203125" style="1"/>
    <col min="10502" max="10502" width="22.83203125" style="1" customWidth="1"/>
    <col min="10503" max="10757" width="8.83203125" style="1"/>
    <col min="10758" max="10758" width="22.83203125" style="1" customWidth="1"/>
    <col min="10759" max="11013" width="8.83203125" style="1"/>
    <col min="11014" max="11014" width="22.83203125" style="1" customWidth="1"/>
    <col min="11015" max="11269" width="8.83203125" style="1"/>
    <col min="11270" max="11270" width="22.83203125" style="1" customWidth="1"/>
    <col min="11271" max="11525" width="8.83203125" style="1"/>
    <col min="11526" max="11526" width="22.83203125" style="1" customWidth="1"/>
    <col min="11527" max="11781" width="8.83203125" style="1"/>
    <col min="11782" max="11782" width="22.83203125" style="1" customWidth="1"/>
    <col min="11783" max="12037" width="8.83203125" style="1"/>
    <col min="12038" max="12038" width="22.83203125" style="1" customWidth="1"/>
    <col min="12039" max="12293" width="8.83203125" style="1"/>
    <col min="12294" max="12294" width="22.83203125" style="1" customWidth="1"/>
    <col min="12295" max="12549" width="8.83203125" style="1"/>
    <col min="12550" max="12550" width="22.83203125" style="1" customWidth="1"/>
    <col min="12551" max="12805" width="8.83203125" style="1"/>
    <col min="12806" max="12806" width="22.83203125" style="1" customWidth="1"/>
    <col min="12807" max="13061" width="8.83203125" style="1"/>
    <col min="13062" max="13062" width="22.83203125" style="1" customWidth="1"/>
    <col min="13063" max="13317" width="8.83203125" style="1"/>
    <col min="13318" max="13318" width="22.83203125" style="1" customWidth="1"/>
    <col min="13319" max="13573" width="8.83203125" style="1"/>
    <col min="13574" max="13574" width="22.83203125" style="1" customWidth="1"/>
    <col min="13575" max="13829" width="8.83203125" style="1"/>
    <col min="13830" max="13830" width="22.83203125" style="1" customWidth="1"/>
    <col min="13831" max="14085" width="8.83203125" style="1"/>
    <col min="14086" max="14086" width="22.83203125" style="1" customWidth="1"/>
    <col min="14087" max="14341" width="8.83203125" style="1"/>
    <col min="14342" max="14342" width="22.83203125" style="1" customWidth="1"/>
    <col min="14343" max="14597" width="8.83203125" style="1"/>
    <col min="14598" max="14598" width="22.83203125" style="1" customWidth="1"/>
    <col min="14599" max="14853" width="8.83203125" style="1"/>
    <col min="14854" max="14854" width="22.83203125" style="1" customWidth="1"/>
    <col min="14855" max="15109" width="8.83203125" style="1"/>
    <col min="15110" max="15110" width="22.83203125" style="1" customWidth="1"/>
    <col min="15111" max="15365" width="8.83203125" style="1"/>
    <col min="15366" max="15366" width="22.83203125" style="1" customWidth="1"/>
    <col min="15367" max="15621" width="8.83203125" style="1"/>
    <col min="15622" max="15622" width="22.83203125" style="1" customWidth="1"/>
    <col min="15623" max="15877" width="8.83203125" style="1"/>
    <col min="15878" max="15878" width="22.83203125" style="1" customWidth="1"/>
    <col min="15879" max="16133" width="8.83203125" style="1"/>
    <col min="16134" max="16134" width="22.83203125" style="1" customWidth="1"/>
    <col min="16135" max="16384" width="8.83203125" style="1"/>
  </cols>
  <sheetData>
    <row r="1" spans="1:13" ht="20" x14ac:dyDescent="0.2">
      <c r="A1" s="22" t="str">
        <f>'Student Info'!$A$1</f>
        <v>Three Rivers Charter School</v>
      </c>
    </row>
    <row r="2" spans="1:13" ht="18" x14ac:dyDescent="0.2">
      <c r="A2" s="21" t="s">
        <v>801</v>
      </c>
    </row>
    <row r="3" spans="1:13" ht="18" x14ac:dyDescent="0.2">
      <c r="A3" s="21" t="str">
        <f>'Student Info'!$A$3</f>
        <v>Five Year Budget, 2015-16 to 2019-20</v>
      </c>
    </row>
    <row r="4" spans="1:13" ht="29.25" customHeight="1" x14ac:dyDescent="0.2"/>
    <row r="5" spans="1:13" ht="18" x14ac:dyDescent="0.2">
      <c r="A5" s="29"/>
      <c r="B5" s="41"/>
      <c r="C5" s="29"/>
    </row>
    <row r="6" spans="1:13" ht="19" thickBot="1" x14ac:dyDescent="0.25">
      <c r="A6" s="30"/>
      <c r="B6" s="42" t="s">
        <v>728</v>
      </c>
      <c r="C6" s="30" t="s">
        <v>729</v>
      </c>
      <c r="D6" s="32" t="str">
        <f>'Student Info'!D$7</f>
        <v>2015-16</v>
      </c>
      <c r="E6" s="307"/>
      <c r="F6" s="32" t="str">
        <f>'Student Info'!E$7</f>
        <v>2016-17</v>
      </c>
      <c r="G6" s="307"/>
      <c r="H6" s="32" t="str">
        <f>'Student Info'!F$7</f>
        <v>2017-18</v>
      </c>
      <c r="I6" s="307"/>
      <c r="J6" s="32" t="str">
        <f>'Student Info'!G$7</f>
        <v>2018-19</v>
      </c>
      <c r="K6" s="307"/>
      <c r="L6" s="32" t="str">
        <f>'Student Info'!H$7</f>
        <v>2019-20</v>
      </c>
      <c r="M6" s="307"/>
    </row>
    <row r="7" spans="1:13" ht="18" x14ac:dyDescent="0.2">
      <c r="A7" s="47" t="s">
        <v>794</v>
      </c>
      <c r="B7" s="87"/>
      <c r="C7" s="47"/>
      <c r="D7" s="48"/>
      <c r="E7" s="308"/>
      <c r="F7" s="48"/>
      <c r="G7" s="308"/>
      <c r="H7" s="48"/>
      <c r="I7" s="308"/>
      <c r="J7" s="48"/>
      <c r="K7" s="308"/>
      <c r="L7" s="48"/>
      <c r="M7" s="308"/>
    </row>
    <row r="8" spans="1:13" ht="18" x14ac:dyDescent="0.2">
      <c r="A8" s="47"/>
      <c r="B8" s="142"/>
      <c r="C8" s="143" t="s">
        <v>779</v>
      </c>
      <c r="D8" s="64">
        <f>IF('Revenue Input'!D19=0,"",'Revenue Input'!D19)</f>
        <v>995248.20047451986</v>
      </c>
      <c r="E8" s="309"/>
      <c r="F8" s="64">
        <f>IF('Revenue Input'!E19=0,"",'Revenue Input'!E19)</f>
        <v>1015844.6488079202</v>
      </c>
      <c r="G8" s="309"/>
      <c r="H8" s="64">
        <f>IF('Revenue Input'!F19=0,"",'Revenue Input'!F19)</f>
        <v>1070457.93445866</v>
      </c>
      <c r="I8" s="309"/>
      <c r="J8" s="64">
        <f>IF('Revenue Input'!G19=0,"",'Revenue Input'!G19)</f>
        <v>1077232.9566044875</v>
      </c>
      <c r="K8" s="309"/>
      <c r="L8" s="64">
        <f>IF('Revenue Input'!H19=0,"",'Revenue Input'!H19)</f>
        <v>1118513.5750339509</v>
      </c>
      <c r="M8" s="309"/>
    </row>
    <row r="9" spans="1:13" ht="18" x14ac:dyDescent="0.2">
      <c r="A9" s="47"/>
      <c r="B9" s="142"/>
      <c r="C9" s="143" t="s">
        <v>785</v>
      </c>
      <c r="D9" s="64" t="str">
        <f>IF('Revenue Input'!D30=0,"",'Revenue Input'!D30)</f>
        <v/>
      </c>
      <c r="E9" s="309"/>
      <c r="F9" s="64" t="str">
        <f>IF('Revenue Input'!E30=0,"",'Revenue Input'!E30)</f>
        <v/>
      </c>
      <c r="G9" s="309"/>
      <c r="H9" s="64" t="str">
        <f>IF('Revenue Input'!F30=0,"",'Revenue Input'!F30)</f>
        <v/>
      </c>
      <c r="I9" s="309"/>
      <c r="J9" s="64" t="str">
        <f>IF('Revenue Input'!G30=0,"",'Revenue Input'!G30)</f>
        <v/>
      </c>
      <c r="K9" s="309"/>
      <c r="L9" s="64" t="str">
        <f>IF('Revenue Input'!H30=0,"",'Revenue Input'!H30)</f>
        <v/>
      </c>
      <c r="M9" s="309"/>
    </row>
    <row r="10" spans="1:13" ht="18" x14ac:dyDescent="0.2">
      <c r="A10" s="47"/>
      <c r="B10" s="142"/>
      <c r="C10" s="143" t="s">
        <v>795</v>
      </c>
      <c r="D10" s="64">
        <f>IF('Revenue Input'!D46=0,"",'Revenue Input'!D46)</f>
        <v>51080</v>
      </c>
      <c r="E10" s="309"/>
      <c r="F10" s="64">
        <f>IF('Revenue Input'!E46=0,"",'Revenue Input'!E46)</f>
        <v>51000</v>
      </c>
      <c r="G10" s="309"/>
      <c r="H10" s="64">
        <f>IF('Revenue Input'!F46=0,"",'Revenue Input'!F46)</f>
        <v>51000</v>
      </c>
      <c r="I10" s="309"/>
      <c r="J10" s="64">
        <f>IF('Revenue Input'!G46=0,"",'Revenue Input'!G46)</f>
        <v>51000</v>
      </c>
      <c r="K10" s="309"/>
      <c r="L10" s="64">
        <f>IF('Revenue Input'!H46=0,"",'Revenue Input'!H46)</f>
        <v>51000</v>
      </c>
      <c r="M10" s="309"/>
    </row>
    <row r="11" spans="1:13" ht="18" x14ac:dyDescent="0.2">
      <c r="A11" s="47"/>
      <c r="B11" s="34" t="s">
        <v>800</v>
      </c>
      <c r="C11" s="34"/>
      <c r="D11" s="172">
        <f>IF(SUM(D8:D10)&gt;0,SUM(D8:D10),"")</f>
        <v>1046328.2004745199</v>
      </c>
      <c r="E11" s="310"/>
      <c r="F11" s="172">
        <f>IF(SUM(F8:F10)&gt;0,SUM(F8:F10),"")</f>
        <v>1066844.64880792</v>
      </c>
      <c r="G11" s="310"/>
      <c r="H11" s="172">
        <f>IF(SUM(H8:H10)&gt;0,SUM(H8:H10),"")</f>
        <v>1121457.93445866</v>
      </c>
      <c r="I11" s="310"/>
      <c r="J11" s="172">
        <f>IF(SUM(J8:J10)&gt;0,SUM(J8:J10),"")</f>
        <v>1128232.9566044875</v>
      </c>
      <c r="K11" s="310"/>
      <c r="L11" s="172">
        <f>IF(SUM(L8:L10)&gt;0,SUM(L8:L10),"")</f>
        <v>1169513.5750339509</v>
      </c>
      <c r="M11" s="310"/>
    </row>
    <row r="12" spans="1:13" ht="18" x14ac:dyDescent="0.2">
      <c r="A12" s="47"/>
      <c r="B12" s="34"/>
      <c r="C12" s="34"/>
      <c r="D12" s="184"/>
      <c r="E12" s="311"/>
      <c r="F12" s="184"/>
      <c r="G12" s="311"/>
      <c r="H12" s="184"/>
      <c r="I12" s="311"/>
      <c r="J12" s="184"/>
      <c r="K12" s="311"/>
      <c r="L12" s="184"/>
      <c r="M12" s="311"/>
    </row>
    <row r="13" spans="1:13" ht="18" x14ac:dyDescent="0.2">
      <c r="A13" s="47" t="s">
        <v>802</v>
      </c>
      <c r="B13" s="87"/>
      <c r="C13" s="47"/>
      <c r="D13" s="185"/>
      <c r="E13" s="312"/>
      <c r="F13" s="185"/>
      <c r="G13" s="312"/>
      <c r="H13" s="185"/>
      <c r="I13" s="312"/>
      <c r="J13" s="185"/>
      <c r="K13" s="312"/>
      <c r="L13" s="185"/>
      <c r="M13" s="312"/>
    </row>
    <row r="14" spans="1:13" ht="18" x14ac:dyDescent="0.2">
      <c r="A14" s="47"/>
      <c r="B14" s="67" t="s">
        <v>555</v>
      </c>
      <c r="C14" s="140" t="s">
        <v>733</v>
      </c>
      <c r="D14" s="64">
        <f>IF(SUMIF('Expenses Summary'!$B:$B,'Budget Summary'!$B14,'Expenses Summary'!D:D)=0,"",SUMIF('Expenses Summary'!$B:$B,'Budget Summary'!$B14,'Expenses Summary'!D:D))</f>
        <v>274957</v>
      </c>
      <c r="E14" s="313">
        <f>+D14/$D$22</f>
        <v>0.31491212321694589</v>
      </c>
      <c r="F14" s="64">
        <f>IF(SUMIF('Expenses Summary'!$B:$B,'Budget Summary'!$B14,'Expenses Summary'!E:E)=0,"",SUMIF('Expenses Summary'!$B:$B,'Budget Summary'!$B14,'Expenses Summary'!E:E))</f>
        <v>306306</v>
      </c>
      <c r="G14" s="313">
        <f>+F14/$F$22</f>
        <v>0.32788458449230329</v>
      </c>
      <c r="H14" s="64">
        <f>IF(SUMIF('Expenses Summary'!$B:$B,'Budget Summary'!$B14,'Expenses Summary'!F:F)=0,"",SUMIF('Expenses Summary'!$B:$B,'Budget Summary'!$B14,'Expenses Summary'!F:F))</f>
        <v>315405.18000000005</v>
      </c>
      <c r="I14" s="313">
        <f>+H14/$H$22</f>
        <v>0.32816766888375487</v>
      </c>
      <c r="J14" s="64">
        <f>IF(SUMIF('Expenses Summary'!$B:$B,'Budget Summary'!$B14,'Expenses Summary'!G:G)=0,"",SUMIF('Expenses Summary'!$B:$B,'Budget Summary'!$B14,'Expenses Summary'!G:G))</f>
        <v>324777.33540000004</v>
      </c>
      <c r="K14" s="313">
        <f>+J14/$J$22</f>
        <v>0.33020565389245438</v>
      </c>
      <c r="L14" s="64">
        <f>IF(SUMIF('Expenses Summary'!$B:$B,'Budget Summary'!$B14,'Expenses Summary'!H:H)=0,"",SUMIF('Expenses Summary'!$B:$B,'Budget Summary'!$B14,'Expenses Summary'!H:H))</f>
        <v>336039.54213899997</v>
      </c>
      <c r="M14" s="313">
        <f>+L14/$L$22</f>
        <v>0.33277109871019439</v>
      </c>
    </row>
    <row r="15" spans="1:13" ht="18" x14ac:dyDescent="0.2">
      <c r="A15" s="47"/>
      <c r="B15" s="141" t="s">
        <v>738</v>
      </c>
      <c r="C15" s="140" t="s">
        <v>734</v>
      </c>
      <c r="D15" s="64">
        <f>IF(SUMIF('Expenses Summary'!$B:$B,'Budget Summary'!$B15,'Expenses Summary'!D:D)=0,"",SUMIF('Expenses Summary'!$B:$B,'Budget Summary'!$B15,'Expenses Summary'!D:D))</f>
        <v>77816</v>
      </c>
      <c r="E15" s="313">
        <f t="shared" ref="E15:E16" si="0">+D15/$D$22</f>
        <v>8.9123760370711999E-2</v>
      </c>
      <c r="F15" s="64">
        <f>IF(SUMIF('Expenses Summary'!$B:$B,'Budget Summary'!$B15,'Expenses Summary'!E:E)=0,"",SUMIF('Expenses Summary'!$B:$B,'Budget Summary'!$B15,'Expenses Summary'!E:E))</f>
        <v>108320</v>
      </c>
      <c r="G15" s="313">
        <f>+F15/$F$22</f>
        <v>0.11595090593134412</v>
      </c>
      <c r="H15" s="64">
        <f>IF(SUMIF('Expenses Summary'!$B:$B,'Budget Summary'!$B15,'Expenses Summary'!F:F)=0,"",SUMIF('Expenses Summary'!$B:$B,'Budget Summary'!$B15,'Expenses Summary'!F:F))</f>
        <v>111569.60000000001</v>
      </c>
      <c r="I15" s="313">
        <f>+H15/$H$22</f>
        <v>0.11608412883483071</v>
      </c>
      <c r="J15" s="64">
        <f>IF(SUMIF('Expenses Summary'!$B:$B,'Budget Summary'!$B15,'Expenses Summary'!G:G)=0,"",SUMIF('Expenses Summary'!$B:$B,'Budget Summary'!$B15,'Expenses Summary'!G:G))</f>
        <v>114916.68800000001</v>
      </c>
      <c r="K15" s="313">
        <f>+J15/$J$22</f>
        <v>0.11683740202332839</v>
      </c>
      <c r="L15" s="64">
        <f>IF(SUMIF('Expenses Summary'!$B:$B,'Budget Summary'!$B15,'Expenses Summary'!H:H)=0,"",SUMIF('Expenses Summary'!$B:$B,'Budget Summary'!$B15,'Expenses Summary'!H:H))</f>
        <v>118938.77208</v>
      </c>
      <c r="M15" s="313">
        <f>+L15/$L$22</f>
        <v>0.11778193010372365</v>
      </c>
    </row>
    <row r="16" spans="1:13" ht="19" thickBot="1" x14ac:dyDescent="0.25">
      <c r="A16" s="47"/>
      <c r="B16" s="141" t="s">
        <v>739</v>
      </c>
      <c r="C16" s="140" t="s">
        <v>674</v>
      </c>
      <c r="D16" s="328">
        <f>IF(SUMIF('Expenses Summary'!$B:$B,'Budget Summary'!$B16,'Expenses Summary'!D:D)=0,"",SUMIF('Expenses Summary'!$B:$B,'Budget Summary'!$B16,'Expenses Summary'!D:D))</f>
        <v>152014</v>
      </c>
      <c r="E16" s="329">
        <f t="shared" si="0"/>
        <v>0.17410377440363697</v>
      </c>
      <c r="F16" s="328">
        <f>IF(SUMIF('Expenses Summary'!$B:$B,'Budget Summary'!$B16,'Expenses Summary'!E:E)=0,"",SUMIF('Expenses Summary'!$B:$B,'Budget Summary'!$B16,'Expenses Summary'!E:E))</f>
        <v>145583.40379999997</v>
      </c>
      <c r="G16" s="329">
        <f>+F16/$F$22</f>
        <v>0.15583943463052699</v>
      </c>
      <c r="H16" s="328">
        <f>IF(SUMIF('Expenses Summary'!$B:$B,'Budget Summary'!$B16,'Expenses Summary'!F:F)=0,"",SUMIF('Expenses Summary'!$B:$B,'Budget Summary'!$B16,'Expenses Summary'!F:F))</f>
        <v>153340.39474399999</v>
      </c>
      <c r="I16" s="329">
        <f>+H16/$H$22</f>
        <v>0.15954512823427075</v>
      </c>
      <c r="J16" s="328">
        <f>IF(SUMIF('Expenses Summary'!$B:$B,'Budget Summary'!$B16,'Expenses Summary'!G:G)=0,"",SUMIF('Expenses Summary'!$B:$B,'Budget Summary'!$B16,'Expenses Summary'!G:G))</f>
        <v>155493.43458631999</v>
      </c>
      <c r="K16" s="329">
        <f>+J16/$J$22</f>
        <v>0.15809234711628639</v>
      </c>
      <c r="L16" s="328">
        <f>IF(SUMIF('Expenses Summary'!$B:$B,'Budget Summary'!$B16,'Expenses Summary'!H:H)=0,"",SUMIF('Expenses Summary'!$B:$B,'Budget Summary'!$B16,'Expenses Summary'!H:H))</f>
        <v>158080.67079684121</v>
      </c>
      <c r="M16" s="329">
        <f>+L16/$L$22</f>
        <v>0.15654312040500848</v>
      </c>
    </row>
    <row r="17" spans="1:20" s="325" customFormat="1" ht="15" customHeight="1" x14ac:dyDescent="0.2">
      <c r="A17" s="320"/>
      <c r="B17" s="321"/>
      <c r="C17" s="322" t="s">
        <v>1215</v>
      </c>
      <c r="D17" s="326">
        <f>SUM(D14:D16)</f>
        <v>504787</v>
      </c>
      <c r="E17" s="327">
        <f t="shared" ref="E17:L17" si="1">SUM(E14:E16)</f>
        <v>0.57813965799129485</v>
      </c>
      <c r="F17" s="326">
        <f t="shared" si="1"/>
        <v>560209.40379999997</v>
      </c>
      <c r="G17" s="327">
        <f>SUM(G14:G16)</f>
        <v>0.59967492505417441</v>
      </c>
      <c r="H17" s="326">
        <f t="shared" si="1"/>
        <v>580315.17474399996</v>
      </c>
      <c r="I17" s="327">
        <f t="shared" ref="I17" si="2">SUM(I14:I16)</f>
        <v>0.60379692595285639</v>
      </c>
      <c r="J17" s="326">
        <f t="shared" si="1"/>
        <v>595187.45798632002</v>
      </c>
      <c r="K17" s="327">
        <f t="shared" ref="K17" si="3">SUM(K14:K16)</f>
        <v>0.60513540303206914</v>
      </c>
      <c r="L17" s="326">
        <f t="shared" si="1"/>
        <v>613058.9850158412</v>
      </c>
      <c r="M17" s="327">
        <f t="shared" ref="M17" si="4">SUM(M14:M16)</f>
        <v>0.60709614921892652</v>
      </c>
      <c r="N17" s="323"/>
      <c r="O17" s="323"/>
      <c r="P17" s="324"/>
      <c r="Q17" s="324"/>
      <c r="R17" s="324"/>
      <c r="S17" s="324"/>
      <c r="T17" s="324"/>
    </row>
    <row r="18" spans="1:20" ht="18" x14ac:dyDescent="0.2">
      <c r="A18" s="47"/>
      <c r="B18" s="141" t="s">
        <v>558</v>
      </c>
      <c r="C18" s="140" t="s">
        <v>678</v>
      </c>
      <c r="D18" s="64">
        <f>IF(SUMIF('Expenses Summary'!$B:$B,'Budget Summary'!$B18,'Expenses Summary'!D:D)=0,"",SUMIF('Expenses Summary'!$B:$B,'Budget Summary'!$B18,'Expenses Summary'!D:D))</f>
        <v>46245</v>
      </c>
      <c r="E18" s="313">
        <f>+D18/$D$22</f>
        <v>5.2965049582908097E-2</v>
      </c>
      <c r="F18" s="64">
        <f>IF(SUMIF('Expenses Summary'!$B:$B,'Budget Summary'!$B18,'Expenses Summary'!E:E)=0,"",SUMIF('Expenses Summary'!$B:$B,'Budget Summary'!$B18,'Expenses Summary'!E:E))</f>
        <v>53111.281999999999</v>
      </c>
      <c r="G18" s="313">
        <f>+F18/$F$22</f>
        <v>5.6852855087473134E-2</v>
      </c>
      <c r="H18" s="64">
        <f>IF(SUMIF('Expenses Summary'!$B:$B,'Budget Summary'!$B18,'Expenses Summary'!F:F)=0,"",SUMIF('Expenses Summary'!$B:$B,'Budget Summary'!$B18,'Expenses Summary'!F:F))</f>
        <v>54332.841485999998</v>
      </c>
      <c r="I18" s="313">
        <f>+H18/$H$22</f>
        <v>5.6531354159405953E-2</v>
      </c>
      <c r="J18" s="64">
        <f>IF(SUMIF('Expenses Summary'!$B:$B,'Budget Summary'!$B18,'Expenses Summary'!G:G)=0,"",SUMIF('Expenses Summary'!$B:$B,'Budget Summary'!$B18,'Expenses Summary'!G:G))</f>
        <v>55691.162523149993</v>
      </c>
      <c r="K18" s="313">
        <f>+J18/$J$22</f>
        <v>5.662198291743141E-2</v>
      </c>
      <c r="L18" s="64">
        <f>IF(SUMIF('Expenses Summary'!$B:$B,'Budget Summary'!$B18,'Expenses Summary'!H:H)=0,"",SUMIF('Expenses Summary'!$B:$B,'Budget Summary'!$B18,'Expenses Summary'!H:H))</f>
        <v>57194.823911275045</v>
      </c>
      <c r="M18" s="313">
        <f>+L18/$L$22</f>
        <v>5.6638526145885361E-2</v>
      </c>
    </row>
    <row r="19" spans="1:20" ht="18" x14ac:dyDescent="0.2">
      <c r="A19" s="47"/>
      <c r="B19" s="141" t="s">
        <v>559</v>
      </c>
      <c r="C19" s="140" t="s">
        <v>722</v>
      </c>
      <c r="D19" s="64">
        <f>IF(SUMIF('Expenses Summary'!$B:$B,'Budget Summary'!$B19,'Expenses Summary'!D:D)=0,"",SUMIF('Expenses Summary'!$B:$B,'Budget Summary'!$B19,'Expenses Summary'!D:D))</f>
        <v>246188.9338047452</v>
      </c>
      <c r="E19" s="313">
        <f t="shared" ref="E19:E20" si="5">+D19/$D$22</f>
        <v>0.28196365197819462</v>
      </c>
      <c r="F19" s="64">
        <f>IF(SUMIF('Expenses Summary'!$B:$B,'Budget Summary'!$B19,'Expenses Summary'!E:E)=0,"",SUMIF('Expenses Summary'!$B:$B,'Budget Summary'!$B19,'Expenses Summary'!E:E))</f>
        <v>243219.4546132306</v>
      </c>
      <c r="G19" s="313">
        <f>+F19/$F$22</f>
        <v>0.2603537306363693</v>
      </c>
      <c r="H19" s="64">
        <f>IF(SUMIF('Expenses Summary'!$B:$B,'Budget Summary'!$B19,'Expenses Summary'!F:F)=0,"",SUMIF('Expenses Summary'!$B:$B,'Budget Summary'!$B19,'Expenses Summary'!F:F))</f>
        <v>248813.50206933491</v>
      </c>
      <c r="I19" s="313">
        <f>+H19/$H$22</f>
        <v>0.25888143929943364</v>
      </c>
      <c r="J19" s="64">
        <f>IF(SUMIF('Expenses Summary'!$B:$B,'Budget Summary'!$B19,'Expenses Summary'!G:G)=0,"",SUMIF('Expenses Summary'!$B:$B,'Budget Summary'!$B19,'Expenses Summary'!G:G))</f>
        <v>255033.83962106824</v>
      </c>
      <c r="K19" s="313">
        <f>+J19/$J$22</f>
        <v>0.259296467449182</v>
      </c>
      <c r="L19" s="64">
        <f>IF(SUMIF('Expenses Summary'!$B:$B,'Budget Summary'!$B19,'Expenses Summary'!H:H)=0,"",SUMIF('Expenses Summary'!$B:$B,'Budget Summary'!$B19,'Expenses Summary'!H:H))</f>
        <v>261919.75329083708</v>
      </c>
      <c r="M19" s="313">
        <f>+L19/$L$22</f>
        <v>0.25937222602345461</v>
      </c>
    </row>
    <row r="20" spans="1:20" ht="18" x14ac:dyDescent="0.2">
      <c r="A20" s="47"/>
      <c r="B20" s="141" t="s">
        <v>560</v>
      </c>
      <c r="C20" s="94" t="s">
        <v>723</v>
      </c>
      <c r="D20" s="64">
        <f>IF(SUMIF('Expenses Summary'!$B:$B,'Budget Summary'!$B20,'Expenses Summary'!D:D)=0,"",SUMIF('Expenses Summary'!$B:$B,'Budget Summary'!$B20,'Expenses Summary'!D:D))</f>
        <v>2824</v>
      </c>
      <c r="E20" s="313">
        <f t="shared" si="5"/>
        <v>3.2343669590687092E-3</v>
      </c>
      <c r="F20" s="64">
        <f>IF(SUMIF('Expenses Summary'!$B:$B,'Budget Summary'!$B20,'Expenses Summary'!E:E)=0,"",SUMIF('Expenses Summary'!$B:$B,'Budget Summary'!$B20,'Expenses Summary'!E:E))</f>
        <v>2824</v>
      </c>
      <c r="G20" s="313">
        <f>+F20/$F$22</f>
        <v>3.0229445933356333E-3</v>
      </c>
      <c r="H20" s="64">
        <f>IF(SUMIF('Expenses Summary'!$B:$B,'Budget Summary'!$B20,'Expenses Summary'!F:F)=0,"",SUMIF('Expenses Summary'!$B:$B,'Budget Summary'!$B20,'Expenses Summary'!F:F))</f>
        <v>2824</v>
      </c>
      <c r="I20" s="313">
        <f>+H20/$H$22</f>
        <v>2.9382697422018359E-3</v>
      </c>
      <c r="J20" s="64">
        <f>IF(SUMIF('Expenses Summary'!$B:$B,'Budget Summary'!$B20,'Expenses Summary'!G:G)=0,"",SUMIF('Expenses Summary'!$B:$B,'Budget Summary'!$B20,'Expenses Summary'!G:G))</f>
        <v>2824</v>
      </c>
      <c r="K20" s="313">
        <f>+J20/$J$22</f>
        <v>2.8712002499922322E-3</v>
      </c>
      <c r="L20" s="64">
        <f>IF(SUMIF('Expenses Summary'!$B:$B,'Budget Summary'!$B20,'Expenses Summary'!H:H)=0,"",SUMIF('Expenses Summary'!$B:$B,'Budget Summary'!$B20,'Expenses Summary'!H:H))</f>
        <v>2824</v>
      </c>
      <c r="M20" s="313">
        <f>+L20/$L$22</f>
        <v>2.7965327436640505E-3</v>
      </c>
    </row>
    <row r="21" spans="1:20" ht="18" x14ac:dyDescent="0.2">
      <c r="A21" s="47"/>
      <c r="B21" s="141" t="s">
        <v>685</v>
      </c>
      <c r="C21" s="94" t="s">
        <v>724</v>
      </c>
      <c r="D21" s="64">
        <f>IF(SUMIF('Expenses Summary'!$B:$B,'Budget Summary'!$B21,'Expenses Summary'!D:D)=0,"",SUMIF('Expenses Summary'!$B:$B,'Budget Summary'!$B21,'Expenses Summary'!D:D))</f>
        <v>73078.0098</v>
      </c>
      <c r="E21" s="309"/>
      <c r="F21" s="64">
        <f>IF(SUMIF('Expenses Summary'!$B:$B,'Budget Summary'!$B21,'Expenses Summary'!E:E)=0,"",SUMIF('Expenses Summary'!$B:$B,'Budget Summary'!$B21,'Expenses Summary'!E:E))</f>
        <v>74824.334700000007</v>
      </c>
      <c r="G21" s="309"/>
      <c r="H21" s="64">
        <f>IF(SUMIF('Expenses Summary'!$B:$B,'Budget Summary'!$B21,'Expenses Summary'!F:F)=0,"",SUMIF('Expenses Summary'!$B:$B,'Budget Summary'!$B21,'Expenses Summary'!F:F))</f>
        <v>74824.334700000007</v>
      </c>
      <c r="I21" s="309"/>
      <c r="J21" s="64">
        <f>IF(SUMIF('Expenses Summary'!$B:$B,'Budget Summary'!$B21,'Expenses Summary'!G:G)=0,"",SUMIF('Expenses Summary'!$B:$B,'Budget Summary'!$B21,'Expenses Summary'!G:G))</f>
        <v>74824.334700000007</v>
      </c>
      <c r="K21" s="309"/>
      <c r="L21" s="64">
        <f>IF(SUMIF('Expenses Summary'!$B:$B,'Budget Summary'!$B21,'Expenses Summary'!H:H)=0,"",SUMIF('Expenses Summary'!$B:$B,'Budget Summary'!$B21,'Expenses Summary'!H:H))</f>
        <v>74824.334700000007</v>
      </c>
      <c r="M21" s="309"/>
    </row>
    <row r="22" spans="1:20" ht="18" x14ac:dyDescent="0.2">
      <c r="A22" s="47"/>
      <c r="B22" s="34" t="s">
        <v>732</v>
      </c>
      <c r="C22" s="34"/>
      <c r="D22" s="172">
        <f>IF(SUM(D17:D21)&gt;0,SUM(D17:D21),"")</f>
        <v>873122.9436047452</v>
      </c>
      <c r="E22" s="345"/>
      <c r="F22" s="172">
        <f>IF(SUM(F17:F21)&gt;0,SUM(F17:F21),"")</f>
        <v>934188.47511323052</v>
      </c>
      <c r="G22" s="314"/>
      <c r="H22" s="172">
        <f>IF(SUM(H17:H21)&gt;0,SUM(H17:H21),"")</f>
        <v>961109.85299933492</v>
      </c>
      <c r="I22" s="314"/>
      <c r="J22" s="172">
        <f>IF(SUM(J17:J21)&gt;0,SUM(J17:J21),"")</f>
        <v>983560.79483053822</v>
      </c>
      <c r="K22" s="314"/>
      <c r="L22" s="172">
        <f>IF(SUM(L17:L21)&gt;0,SUM(L17:L21),"")</f>
        <v>1009821.8969179533</v>
      </c>
      <c r="M22" s="314"/>
    </row>
    <row r="23" spans="1:20" s="31" customFormat="1" ht="17" thickBot="1" x14ac:dyDescent="0.25">
      <c r="A23" s="92"/>
      <c r="B23" s="90"/>
      <c r="C23" s="91"/>
      <c r="D23" s="186"/>
      <c r="E23" s="315"/>
      <c r="F23" s="186"/>
      <c r="G23" s="315"/>
      <c r="H23" s="186"/>
      <c r="I23" s="315"/>
      <c r="J23" s="186"/>
      <c r="K23" s="315"/>
      <c r="L23" s="186"/>
      <c r="M23" s="315"/>
      <c r="P23"/>
      <c r="Q23"/>
      <c r="R23"/>
      <c r="S23"/>
      <c r="T23"/>
    </row>
    <row r="24" spans="1:20" s="31" customFormat="1" x14ac:dyDescent="0.2">
      <c r="A24" s="34" t="s">
        <v>803</v>
      </c>
      <c r="B24" s="4"/>
      <c r="C24" s="3"/>
      <c r="D24" s="172">
        <f>IF(D22="","",D11-D22)</f>
        <v>173205.25686977466</v>
      </c>
      <c r="E24" s="310"/>
      <c r="F24" s="172">
        <f>IF(F22="","",F11-F22)</f>
        <v>132656.17369468953</v>
      </c>
      <c r="G24" s="310"/>
      <c r="H24" s="172">
        <f>IF(H22="","",H11-H22)</f>
        <v>160348.08145932504</v>
      </c>
      <c r="I24" s="310"/>
      <c r="J24" s="172">
        <f>IF(J22="","",J11-J22)</f>
        <v>144672.16177394928</v>
      </c>
      <c r="K24" s="310"/>
      <c r="L24" s="172">
        <f>IF(L22="","",L11-L22)</f>
        <v>159691.67811599758</v>
      </c>
      <c r="M24" s="310"/>
      <c r="P24"/>
      <c r="Q24"/>
      <c r="R24"/>
      <c r="S24"/>
      <c r="T24"/>
    </row>
    <row r="25" spans="1:20" s="31" customFormat="1" x14ac:dyDescent="0.2">
      <c r="A25" s="34"/>
      <c r="B25" s="40" t="s">
        <v>1214</v>
      </c>
      <c r="C25" s="3"/>
      <c r="D25" s="188">
        <f>D24/SUM('Revenue Input'!D8:D10)</f>
        <v>0.19938595223916875</v>
      </c>
      <c r="E25" s="316"/>
      <c r="F25" s="188">
        <f>F24/SUM('Revenue Input'!E8:E10)</f>
        <v>0.13898338539219587</v>
      </c>
      <c r="G25" s="316"/>
      <c r="H25" s="188">
        <f>H24/SUM('Revenue Input'!F8:F10)</f>
        <v>0.15906099395073189</v>
      </c>
      <c r="I25" s="316"/>
      <c r="J25" s="188">
        <f>J24/SUM('Revenue Input'!G8:G10)</f>
        <v>0.14270093598293201</v>
      </c>
      <c r="K25" s="316"/>
      <c r="L25" s="188">
        <f>L24/SUM('Revenue Input'!H8:H10)</f>
        <v>0.1515204102199057</v>
      </c>
      <c r="M25" s="316"/>
      <c r="P25"/>
      <c r="Q25"/>
      <c r="R25"/>
      <c r="S25"/>
      <c r="T25"/>
    </row>
    <row r="26" spans="1:20" s="31" customFormat="1" x14ac:dyDescent="0.2">
      <c r="A26" s="36"/>
      <c r="B26" s="40"/>
      <c r="C26" s="1"/>
      <c r="D26" s="187"/>
      <c r="E26" s="317"/>
      <c r="F26" s="187"/>
      <c r="G26" s="317"/>
      <c r="H26" s="187"/>
      <c r="I26" s="317"/>
      <c r="J26" s="187"/>
      <c r="K26" s="317"/>
      <c r="L26" s="187"/>
      <c r="M26" s="317"/>
      <c r="P26"/>
      <c r="Q26"/>
      <c r="R26"/>
      <c r="S26"/>
      <c r="T26"/>
    </row>
    <row r="27" spans="1:20" s="31" customFormat="1" x14ac:dyDescent="0.2">
      <c r="A27" s="34" t="s">
        <v>1198</v>
      </c>
      <c r="B27" s="40"/>
      <c r="C27" s="1"/>
      <c r="D27" s="295">
        <v>447197</v>
      </c>
      <c r="E27" s="318"/>
      <c r="F27" s="295">
        <f>D32</f>
        <v>620402.25686977466</v>
      </c>
      <c r="G27" s="318"/>
      <c r="H27" s="295">
        <f>F32</f>
        <v>753058.43056446419</v>
      </c>
      <c r="I27" s="318"/>
      <c r="J27" s="295">
        <f>H32</f>
        <v>913406.51202378923</v>
      </c>
      <c r="K27" s="318"/>
      <c r="L27" s="295">
        <f>J32</f>
        <v>1058078.6737977385</v>
      </c>
      <c r="M27" s="318"/>
      <c r="P27"/>
      <c r="Q27"/>
      <c r="R27"/>
      <c r="S27"/>
      <c r="T27"/>
    </row>
    <row r="28" spans="1:20" s="31" customFormat="1" x14ac:dyDescent="0.2">
      <c r="A28" s="36"/>
      <c r="B28" s="40"/>
      <c r="C28" s="1"/>
      <c r="D28" s="187"/>
      <c r="E28" s="317"/>
      <c r="F28" s="187"/>
      <c r="G28" s="317"/>
      <c r="H28" s="187"/>
      <c r="I28" s="317"/>
      <c r="J28" s="187"/>
      <c r="K28" s="317"/>
      <c r="L28" s="187"/>
      <c r="M28" s="317"/>
      <c r="P28"/>
      <c r="Q28"/>
      <c r="R28"/>
      <c r="S28"/>
      <c r="T28"/>
    </row>
    <row r="29" spans="1:20" s="31" customFormat="1" hidden="1" x14ac:dyDescent="0.2">
      <c r="A29" s="36"/>
      <c r="B29" s="40"/>
      <c r="C29" s="1"/>
      <c r="D29" s="187"/>
      <c r="E29" s="317"/>
      <c r="F29" s="187"/>
      <c r="G29" s="317"/>
      <c r="H29" s="187"/>
      <c r="I29" s="317"/>
      <c r="J29" s="187"/>
      <c r="K29" s="317"/>
      <c r="L29" s="187"/>
      <c r="M29" s="317"/>
      <c r="P29"/>
      <c r="Q29"/>
      <c r="R29"/>
      <c r="S29"/>
      <c r="T29"/>
    </row>
    <row r="30" spans="1:20" s="31" customFormat="1" hidden="1" x14ac:dyDescent="0.2">
      <c r="A30" s="217" t="s">
        <v>1096</v>
      </c>
      <c r="B30" s="40"/>
      <c r="C30" s="1"/>
      <c r="D30" s="187">
        <f>'Cash Flow %s Yr1'!T161</f>
        <v>0</v>
      </c>
      <c r="E30" s="317"/>
      <c r="F30" s="187"/>
      <c r="G30" s="317"/>
      <c r="H30" s="187"/>
      <c r="I30" s="317"/>
      <c r="J30" s="187"/>
      <c r="K30" s="317"/>
      <c r="L30" s="187"/>
      <c r="M30" s="317"/>
      <c r="P30"/>
      <c r="Q30"/>
      <c r="R30"/>
      <c r="S30"/>
      <c r="T30"/>
    </row>
    <row r="31" spans="1:20" s="31" customFormat="1" hidden="1" x14ac:dyDescent="0.2">
      <c r="B31" s="40"/>
      <c r="C31" s="1"/>
      <c r="D31" s="187"/>
      <c r="E31" s="317"/>
      <c r="F31" s="187"/>
      <c r="G31" s="317"/>
      <c r="H31" s="187"/>
      <c r="I31" s="317"/>
      <c r="J31" s="187"/>
      <c r="K31" s="317"/>
      <c r="L31" s="187"/>
      <c r="M31" s="317"/>
      <c r="P31"/>
      <c r="Q31"/>
      <c r="R31"/>
      <c r="S31"/>
      <c r="T31"/>
    </row>
    <row r="32" spans="1:20" s="31" customFormat="1" x14ac:dyDescent="0.2">
      <c r="A32" s="34" t="s">
        <v>921</v>
      </c>
      <c r="C32" s="1"/>
      <c r="D32" s="172">
        <f>D27+D24-D30</f>
        <v>620402.25686977466</v>
      </c>
      <c r="E32" s="310"/>
      <c r="F32" s="172">
        <f>F27+F24-F30</f>
        <v>753058.43056446419</v>
      </c>
      <c r="G32" s="310"/>
      <c r="H32" s="172">
        <f>H27+H24-H30</f>
        <v>913406.51202378923</v>
      </c>
      <c r="I32" s="310"/>
      <c r="J32" s="172">
        <f>J27+J24-J30</f>
        <v>1058078.6737977385</v>
      </c>
      <c r="K32" s="310"/>
      <c r="L32" s="172">
        <f>L27+L24-L30</f>
        <v>1217770.3519137362</v>
      </c>
      <c r="M32" s="310"/>
      <c r="P32"/>
      <c r="Q32"/>
      <c r="R32"/>
      <c r="S32"/>
      <c r="T32"/>
    </row>
    <row r="33" spans="1:20" s="40" customFormat="1" x14ac:dyDescent="0.2">
      <c r="A33" s="36"/>
      <c r="B33" s="40" t="s">
        <v>1214</v>
      </c>
      <c r="C33" s="1"/>
      <c r="D33" s="188">
        <f>D32/SUM('Revenue Input'!D8:D10)</f>
        <v>0.71417863979910001</v>
      </c>
      <c r="E33" s="316"/>
      <c r="F33" s="188">
        <f>F32/SUM('Revenue Input'!E8:E10)</f>
        <v>0.78897654864421096</v>
      </c>
      <c r="G33" s="316"/>
      <c r="H33" s="188">
        <f>H32/SUM('Revenue Input'!F8:F10)</f>
        <v>0.90607474914147701</v>
      </c>
      <c r="I33" s="316"/>
      <c r="J33" s="188">
        <f>J32/SUM('Revenue Input'!G8:G10)</f>
        <v>1.0436618575620458</v>
      </c>
      <c r="K33" s="316"/>
      <c r="L33" s="188">
        <f>L32/SUM('Revenue Input'!H8:H10)</f>
        <v>1.155458227081676</v>
      </c>
      <c r="M33" s="316"/>
      <c r="N33" s="31"/>
      <c r="O33" s="31"/>
      <c r="P33"/>
      <c r="Q33"/>
      <c r="R33"/>
      <c r="S33"/>
      <c r="T33"/>
    </row>
    <row r="34" spans="1:20" s="40" customFormat="1" x14ac:dyDescent="0.2">
      <c r="A34" s="36"/>
      <c r="E34" s="319"/>
      <c r="G34" s="319"/>
      <c r="I34" s="319"/>
      <c r="K34" s="319"/>
      <c r="M34" s="319"/>
      <c r="N34" s="31"/>
      <c r="O34" s="31"/>
      <c r="P34"/>
      <c r="Q34"/>
      <c r="R34"/>
      <c r="S34"/>
      <c r="T34"/>
    </row>
    <row r="35" spans="1:20" s="40" customFormat="1" x14ac:dyDescent="0.2">
      <c r="A35" s="36"/>
      <c r="B35" s="183"/>
      <c r="C35" s="1"/>
      <c r="D35" s="187"/>
      <c r="E35" s="317"/>
      <c r="F35" s="187"/>
      <c r="G35" s="317"/>
      <c r="H35" s="187"/>
      <c r="I35" s="317"/>
      <c r="J35" s="187"/>
      <c r="K35" s="317"/>
      <c r="L35" s="187"/>
      <c r="M35" s="317"/>
      <c r="N35" s="31"/>
      <c r="O35" s="31"/>
      <c r="P35"/>
      <c r="Q35"/>
      <c r="R35"/>
      <c r="S35"/>
      <c r="T35"/>
    </row>
    <row r="36" spans="1:20" s="40" customFormat="1" x14ac:dyDescent="0.2">
      <c r="A36" s="36"/>
      <c r="C36" s="1"/>
      <c r="D36" s="31"/>
      <c r="E36" s="306"/>
      <c r="F36" s="31"/>
      <c r="G36" s="306"/>
      <c r="H36" s="31"/>
      <c r="I36" s="306"/>
      <c r="J36" s="31"/>
      <c r="K36" s="306"/>
      <c r="L36" s="31"/>
      <c r="M36" s="306"/>
      <c r="N36" s="31"/>
      <c r="O36" s="31"/>
      <c r="P36"/>
      <c r="Q36"/>
      <c r="R36"/>
      <c r="S36"/>
      <c r="T36"/>
    </row>
    <row r="37" spans="1:20" s="40" customFormat="1" x14ac:dyDescent="0.2">
      <c r="A37" s="36"/>
      <c r="C37" s="1"/>
      <c r="D37" s="31"/>
      <c r="E37" s="306"/>
      <c r="F37" s="31"/>
      <c r="G37" s="306"/>
      <c r="H37" s="31"/>
      <c r="I37" s="306"/>
      <c r="J37" s="31"/>
      <c r="K37" s="306"/>
      <c r="L37" s="31"/>
      <c r="M37" s="306"/>
      <c r="N37" s="31"/>
      <c r="O37" s="31"/>
      <c r="P37"/>
      <c r="Q37"/>
      <c r="R37"/>
      <c r="S37"/>
      <c r="T37"/>
    </row>
    <row r="38" spans="1:20" s="40" customFormat="1" x14ac:dyDescent="0.2">
      <c r="A38" s="36"/>
      <c r="C38" s="1"/>
      <c r="D38" s="31"/>
      <c r="E38" s="306"/>
      <c r="F38" s="31"/>
      <c r="G38" s="306"/>
      <c r="H38" s="31"/>
      <c r="I38" s="306"/>
      <c r="J38" s="31"/>
      <c r="K38" s="306"/>
      <c r="L38" s="31"/>
      <c r="M38" s="306"/>
      <c r="N38" s="31"/>
      <c r="O38" s="31"/>
      <c r="P38"/>
      <c r="Q38"/>
      <c r="R38"/>
      <c r="S38"/>
      <c r="T38"/>
    </row>
    <row r="39" spans="1:20" s="40" customFormat="1" x14ac:dyDescent="0.2">
      <c r="A39" s="36"/>
      <c r="C39" s="1"/>
      <c r="D39" s="31"/>
      <c r="E39" s="306"/>
      <c r="F39" s="31"/>
      <c r="G39" s="306"/>
      <c r="H39" s="31"/>
      <c r="I39" s="306"/>
      <c r="J39" s="31"/>
      <c r="K39" s="306"/>
      <c r="L39" s="31"/>
      <c r="M39" s="306"/>
      <c r="N39" s="31"/>
      <c r="O39" s="31"/>
      <c r="P39"/>
      <c r="Q39"/>
      <c r="R39"/>
      <c r="S39"/>
      <c r="T39"/>
    </row>
    <row r="40" spans="1:20" s="40" customFormat="1" x14ac:dyDescent="0.2">
      <c r="A40" s="36"/>
      <c r="C40" s="1"/>
      <c r="D40" s="31"/>
      <c r="E40" s="306"/>
      <c r="F40" s="31"/>
      <c r="G40" s="306"/>
      <c r="H40" s="31"/>
      <c r="I40" s="306"/>
      <c r="J40" s="31"/>
      <c r="K40" s="306"/>
      <c r="L40" s="31"/>
      <c r="M40" s="306"/>
      <c r="N40" s="31"/>
      <c r="O40" s="31"/>
      <c r="P40"/>
      <c r="Q40"/>
      <c r="R40"/>
      <c r="S40"/>
      <c r="T40"/>
    </row>
    <row r="41" spans="1:20" s="40" customFormat="1" x14ac:dyDescent="0.2">
      <c r="A41" s="36"/>
      <c r="C41" s="1"/>
      <c r="D41" s="31"/>
      <c r="E41" s="306"/>
      <c r="F41" s="31"/>
      <c r="G41" s="306"/>
      <c r="H41" s="31"/>
      <c r="I41" s="306"/>
      <c r="J41" s="31"/>
      <c r="K41" s="306"/>
      <c r="L41" s="31"/>
      <c r="M41" s="306"/>
      <c r="N41" s="31"/>
      <c r="O41" s="31"/>
      <c r="P41"/>
      <c r="Q41"/>
      <c r="R41"/>
      <c r="S41"/>
      <c r="T41"/>
    </row>
  </sheetData>
  <pageMargins left="0.25" right="0.25" top="1" bottom="0.5" header="0.25" footer="0.25"/>
  <pageSetup scale="74" orientation="landscape" r:id="rId1"/>
  <headerFooter alignWithMargins="0">
    <oddHeader>&amp;A</oddHeader>
    <oddFooter>Page &amp;P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pane xSplit="1" ySplit="1" topLeftCell="B2" activePane="bottomRight" state="frozen"/>
      <selection activeCell="S2" sqref="S2"/>
      <selection pane="topRight" activeCell="S2" sqref="S2"/>
      <selection pane="bottomLeft" activeCell="S2" sqref="S2"/>
      <selection pane="bottomRight" activeCell="Q51" sqref="A2:Q51"/>
    </sheetView>
  </sheetViews>
  <sheetFormatPr baseColWidth="10" defaultColWidth="8.83203125" defaultRowHeight="13" x14ac:dyDescent="0.15"/>
  <cols>
    <col min="1" max="1" width="13.33203125" style="161" customWidth="1"/>
    <col min="2" max="5" width="9.1640625" style="161" customWidth="1"/>
    <col min="6" max="6" width="14.33203125" style="161" customWidth="1"/>
    <col min="7" max="8" width="11.5" style="161" bestFit="1" customWidth="1"/>
    <col min="9" max="9" width="10.5" style="161" bestFit="1" customWidth="1"/>
    <col min="10" max="10" width="11.5" style="161" bestFit="1" customWidth="1"/>
    <col min="11" max="13" width="10.5" style="161" bestFit="1" customWidth="1"/>
    <col min="14" max="14" width="13.83203125" style="161" customWidth="1"/>
    <col min="15" max="15" width="12.5" style="161" bestFit="1" customWidth="1"/>
    <col min="16" max="16" width="10.5" style="161" bestFit="1" customWidth="1"/>
    <col min="17" max="17" width="13.1640625" style="161" customWidth="1"/>
    <col min="18" max="18" width="13.83203125" style="287" bestFit="1" customWidth="1"/>
    <col min="19" max="19" width="8.83203125" style="165"/>
    <col min="20" max="256" width="8.83203125" style="161"/>
    <col min="257" max="257" width="13.33203125" style="161" customWidth="1"/>
    <col min="258" max="261" width="8.83203125" style="161"/>
    <col min="262" max="262" width="14.33203125" style="161" customWidth="1"/>
    <col min="263" max="269" width="8.83203125" style="161"/>
    <col min="270" max="270" width="13.83203125" style="161" customWidth="1"/>
    <col min="271" max="272" width="8.83203125" style="161"/>
    <col min="273" max="273" width="13.1640625" style="161" customWidth="1"/>
    <col min="274" max="512" width="8.83203125" style="161"/>
    <col min="513" max="513" width="13.33203125" style="161" customWidth="1"/>
    <col min="514" max="517" width="8.83203125" style="161"/>
    <col min="518" max="518" width="14.33203125" style="161" customWidth="1"/>
    <col min="519" max="525" width="8.83203125" style="161"/>
    <col min="526" max="526" width="13.83203125" style="161" customWidth="1"/>
    <col min="527" max="528" width="8.83203125" style="161"/>
    <col min="529" max="529" width="13.1640625" style="161" customWidth="1"/>
    <col min="530" max="768" width="8.83203125" style="161"/>
    <col min="769" max="769" width="13.33203125" style="161" customWidth="1"/>
    <col min="770" max="773" width="8.83203125" style="161"/>
    <col min="774" max="774" width="14.33203125" style="161" customWidth="1"/>
    <col min="775" max="781" width="8.83203125" style="161"/>
    <col min="782" max="782" width="13.83203125" style="161" customWidth="1"/>
    <col min="783" max="784" width="8.83203125" style="161"/>
    <col min="785" max="785" width="13.1640625" style="161" customWidth="1"/>
    <col min="786" max="1024" width="8.83203125" style="161"/>
    <col min="1025" max="1025" width="13.33203125" style="161" customWidth="1"/>
    <col min="1026" max="1029" width="8.83203125" style="161"/>
    <col min="1030" max="1030" width="14.33203125" style="161" customWidth="1"/>
    <col min="1031" max="1037" width="8.83203125" style="161"/>
    <col min="1038" max="1038" width="13.83203125" style="161" customWidth="1"/>
    <col min="1039" max="1040" width="8.83203125" style="161"/>
    <col min="1041" max="1041" width="13.1640625" style="161" customWidth="1"/>
    <col min="1042" max="1280" width="8.83203125" style="161"/>
    <col min="1281" max="1281" width="13.33203125" style="161" customWidth="1"/>
    <col min="1282" max="1285" width="8.83203125" style="161"/>
    <col min="1286" max="1286" width="14.33203125" style="161" customWidth="1"/>
    <col min="1287" max="1293" width="8.83203125" style="161"/>
    <col min="1294" max="1294" width="13.83203125" style="161" customWidth="1"/>
    <col min="1295" max="1296" width="8.83203125" style="161"/>
    <col min="1297" max="1297" width="13.1640625" style="161" customWidth="1"/>
    <col min="1298" max="1536" width="8.83203125" style="161"/>
    <col min="1537" max="1537" width="13.33203125" style="161" customWidth="1"/>
    <col min="1538" max="1541" width="8.83203125" style="161"/>
    <col min="1542" max="1542" width="14.33203125" style="161" customWidth="1"/>
    <col min="1543" max="1549" width="8.83203125" style="161"/>
    <col min="1550" max="1550" width="13.83203125" style="161" customWidth="1"/>
    <col min="1551" max="1552" width="8.83203125" style="161"/>
    <col min="1553" max="1553" width="13.1640625" style="161" customWidth="1"/>
    <col min="1554" max="1792" width="8.83203125" style="161"/>
    <col min="1793" max="1793" width="13.33203125" style="161" customWidth="1"/>
    <col min="1794" max="1797" width="8.83203125" style="161"/>
    <col min="1798" max="1798" width="14.33203125" style="161" customWidth="1"/>
    <col min="1799" max="1805" width="8.83203125" style="161"/>
    <col min="1806" max="1806" width="13.83203125" style="161" customWidth="1"/>
    <col min="1807" max="1808" width="8.83203125" style="161"/>
    <col min="1809" max="1809" width="13.1640625" style="161" customWidth="1"/>
    <col min="1810" max="2048" width="8.83203125" style="161"/>
    <col min="2049" max="2049" width="13.33203125" style="161" customWidth="1"/>
    <col min="2050" max="2053" width="8.83203125" style="161"/>
    <col min="2054" max="2054" width="14.33203125" style="161" customWidth="1"/>
    <col min="2055" max="2061" width="8.83203125" style="161"/>
    <col min="2062" max="2062" width="13.83203125" style="161" customWidth="1"/>
    <col min="2063" max="2064" width="8.83203125" style="161"/>
    <col min="2065" max="2065" width="13.1640625" style="161" customWidth="1"/>
    <col min="2066" max="2304" width="8.83203125" style="161"/>
    <col min="2305" max="2305" width="13.33203125" style="161" customWidth="1"/>
    <col min="2306" max="2309" width="8.83203125" style="161"/>
    <col min="2310" max="2310" width="14.33203125" style="161" customWidth="1"/>
    <col min="2311" max="2317" width="8.83203125" style="161"/>
    <col min="2318" max="2318" width="13.83203125" style="161" customWidth="1"/>
    <col min="2319" max="2320" width="8.83203125" style="161"/>
    <col min="2321" max="2321" width="13.1640625" style="161" customWidth="1"/>
    <col min="2322" max="2560" width="8.83203125" style="161"/>
    <col min="2561" max="2561" width="13.33203125" style="161" customWidth="1"/>
    <col min="2562" max="2565" width="8.83203125" style="161"/>
    <col min="2566" max="2566" width="14.33203125" style="161" customWidth="1"/>
    <col min="2567" max="2573" width="8.83203125" style="161"/>
    <col min="2574" max="2574" width="13.83203125" style="161" customWidth="1"/>
    <col min="2575" max="2576" width="8.83203125" style="161"/>
    <col min="2577" max="2577" width="13.1640625" style="161" customWidth="1"/>
    <col min="2578" max="2816" width="8.83203125" style="161"/>
    <col min="2817" max="2817" width="13.33203125" style="161" customWidth="1"/>
    <col min="2818" max="2821" width="8.83203125" style="161"/>
    <col min="2822" max="2822" width="14.33203125" style="161" customWidth="1"/>
    <col min="2823" max="2829" width="8.83203125" style="161"/>
    <col min="2830" max="2830" width="13.83203125" style="161" customWidth="1"/>
    <col min="2831" max="2832" width="8.83203125" style="161"/>
    <col min="2833" max="2833" width="13.1640625" style="161" customWidth="1"/>
    <col min="2834" max="3072" width="8.83203125" style="161"/>
    <col min="3073" max="3073" width="13.33203125" style="161" customWidth="1"/>
    <col min="3074" max="3077" width="8.83203125" style="161"/>
    <col min="3078" max="3078" width="14.33203125" style="161" customWidth="1"/>
    <col min="3079" max="3085" width="8.83203125" style="161"/>
    <col min="3086" max="3086" width="13.83203125" style="161" customWidth="1"/>
    <col min="3087" max="3088" width="8.83203125" style="161"/>
    <col min="3089" max="3089" width="13.1640625" style="161" customWidth="1"/>
    <col min="3090" max="3328" width="8.83203125" style="161"/>
    <col min="3329" max="3329" width="13.33203125" style="161" customWidth="1"/>
    <col min="3330" max="3333" width="8.83203125" style="161"/>
    <col min="3334" max="3334" width="14.33203125" style="161" customWidth="1"/>
    <col min="3335" max="3341" width="8.83203125" style="161"/>
    <col min="3342" max="3342" width="13.83203125" style="161" customWidth="1"/>
    <col min="3343" max="3344" width="8.83203125" style="161"/>
    <col min="3345" max="3345" width="13.1640625" style="161" customWidth="1"/>
    <col min="3346" max="3584" width="8.83203125" style="161"/>
    <col min="3585" max="3585" width="13.33203125" style="161" customWidth="1"/>
    <col min="3586" max="3589" width="8.83203125" style="161"/>
    <col min="3590" max="3590" width="14.33203125" style="161" customWidth="1"/>
    <col min="3591" max="3597" width="8.83203125" style="161"/>
    <col min="3598" max="3598" width="13.83203125" style="161" customWidth="1"/>
    <col min="3599" max="3600" width="8.83203125" style="161"/>
    <col min="3601" max="3601" width="13.1640625" style="161" customWidth="1"/>
    <col min="3602" max="3840" width="8.83203125" style="161"/>
    <col min="3841" max="3841" width="13.33203125" style="161" customWidth="1"/>
    <col min="3842" max="3845" width="8.83203125" style="161"/>
    <col min="3846" max="3846" width="14.33203125" style="161" customWidth="1"/>
    <col min="3847" max="3853" width="8.83203125" style="161"/>
    <col min="3854" max="3854" width="13.83203125" style="161" customWidth="1"/>
    <col min="3855" max="3856" width="8.83203125" style="161"/>
    <col min="3857" max="3857" width="13.1640625" style="161" customWidth="1"/>
    <col min="3858" max="4096" width="8.83203125" style="161"/>
    <col min="4097" max="4097" width="13.33203125" style="161" customWidth="1"/>
    <col min="4098" max="4101" width="8.83203125" style="161"/>
    <col min="4102" max="4102" width="14.33203125" style="161" customWidth="1"/>
    <col min="4103" max="4109" width="8.83203125" style="161"/>
    <col min="4110" max="4110" width="13.83203125" style="161" customWidth="1"/>
    <col min="4111" max="4112" width="8.83203125" style="161"/>
    <col min="4113" max="4113" width="13.1640625" style="161" customWidth="1"/>
    <col min="4114" max="4352" width="8.83203125" style="161"/>
    <col min="4353" max="4353" width="13.33203125" style="161" customWidth="1"/>
    <col min="4354" max="4357" width="8.83203125" style="161"/>
    <col min="4358" max="4358" width="14.33203125" style="161" customWidth="1"/>
    <col min="4359" max="4365" width="8.83203125" style="161"/>
    <col min="4366" max="4366" width="13.83203125" style="161" customWidth="1"/>
    <col min="4367" max="4368" width="8.83203125" style="161"/>
    <col min="4369" max="4369" width="13.1640625" style="161" customWidth="1"/>
    <col min="4370" max="4608" width="8.83203125" style="161"/>
    <col min="4609" max="4609" width="13.33203125" style="161" customWidth="1"/>
    <col min="4610" max="4613" width="8.83203125" style="161"/>
    <col min="4614" max="4614" width="14.33203125" style="161" customWidth="1"/>
    <col min="4615" max="4621" width="8.83203125" style="161"/>
    <col min="4622" max="4622" width="13.83203125" style="161" customWidth="1"/>
    <col min="4623" max="4624" width="8.83203125" style="161"/>
    <col min="4625" max="4625" width="13.1640625" style="161" customWidth="1"/>
    <col min="4626" max="4864" width="8.83203125" style="161"/>
    <col min="4865" max="4865" width="13.33203125" style="161" customWidth="1"/>
    <col min="4866" max="4869" width="8.83203125" style="161"/>
    <col min="4870" max="4870" width="14.33203125" style="161" customWidth="1"/>
    <col min="4871" max="4877" width="8.83203125" style="161"/>
    <col min="4878" max="4878" width="13.83203125" style="161" customWidth="1"/>
    <col min="4879" max="4880" width="8.83203125" style="161"/>
    <col min="4881" max="4881" width="13.1640625" style="161" customWidth="1"/>
    <col min="4882" max="5120" width="8.83203125" style="161"/>
    <col min="5121" max="5121" width="13.33203125" style="161" customWidth="1"/>
    <col min="5122" max="5125" width="8.83203125" style="161"/>
    <col min="5126" max="5126" width="14.33203125" style="161" customWidth="1"/>
    <col min="5127" max="5133" width="8.83203125" style="161"/>
    <col min="5134" max="5134" width="13.83203125" style="161" customWidth="1"/>
    <col min="5135" max="5136" width="8.83203125" style="161"/>
    <col min="5137" max="5137" width="13.1640625" style="161" customWidth="1"/>
    <col min="5138" max="5376" width="8.83203125" style="161"/>
    <col min="5377" max="5377" width="13.33203125" style="161" customWidth="1"/>
    <col min="5378" max="5381" width="8.83203125" style="161"/>
    <col min="5382" max="5382" width="14.33203125" style="161" customWidth="1"/>
    <col min="5383" max="5389" width="8.83203125" style="161"/>
    <col min="5390" max="5390" width="13.83203125" style="161" customWidth="1"/>
    <col min="5391" max="5392" width="8.83203125" style="161"/>
    <col min="5393" max="5393" width="13.1640625" style="161" customWidth="1"/>
    <col min="5394" max="5632" width="8.83203125" style="161"/>
    <col min="5633" max="5633" width="13.33203125" style="161" customWidth="1"/>
    <col min="5634" max="5637" width="8.83203125" style="161"/>
    <col min="5638" max="5638" width="14.33203125" style="161" customWidth="1"/>
    <col min="5639" max="5645" width="8.83203125" style="161"/>
    <col min="5646" max="5646" width="13.83203125" style="161" customWidth="1"/>
    <col min="5647" max="5648" width="8.83203125" style="161"/>
    <col min="5649" max="5649" width="13.1640625" style="161" customWidth="1"/>
    <col min="5650" max="5888" width="8.83203125" style="161"/>
    <col min="5889" max="5889" width="13.33203125" style="161" customWidth="1"/>
    <col min="5890" max="5893" width="8.83203125" style="161"/>
    <col min="5894" max="5894" width="14.33203125" style="161" customWidth="1"/>
    <col min="5895" max="5901" width="8.83203125" style="161"/>
    <col min="5902" max="5902" width="13.83203125" style="161" customWidth="1"/>
    <col min="5903" max="5904" width="8.83203125" style="161"/>
    <col min="5905" max="5905" width="13.1640625" style="161" customWidth="1"/>
    <col min="5906" max="6144" width="8.83203125" style="161"/>
    <col min="6145" max="6145" width="13.33203125" style="161" customWidth="1"/>
    <col min="6146" max="6149" width="8.83203125" style="161"/>
    <col min="6150" max="6150" width="14.33203125" style="161" customWidth="1"/>
    <col min="6151" max="6157" width="8.83203125" style="161"/>
    <col min="6158" max="6158" width="13.83203125" style="161" customWidth="1"/>
    <col min="6159" max="6160" width="8.83203125" style="161"/>
    <col min="6161" max="6161" width="13.1640625" style="161" customWidth="1"/>
    <col min="6162" max="6400" width="8.83203125" style="161"/>
    <col min="6401" max="6401" width="13.33203125" style="161" customWidth="1"/>
    <col min="6402" max="6405" width="8.83203125" style="161"/>
    <col min="6406" max="6406" width="14.33203125" style="161" customWidth="1"/>
    <col min="6407" max="6413" width="8.83203125" style="161"/>
    <col min="6414" max="6414" width="13.83203125" style="161" customWidth="1"/>
    <col min="6415" max="6416" width="8.83203125" style="161"/>
    <col min="6417" max="6417" width="13.1640625" style="161" customWidth="1"/>
    <col min="6418" max="6656" width="8.83203125" style="161"/>
    <col min="6657" max="6657" width="13.33203125" style="161" customWidth="1"/>
    <col min="6658" max="6661" width="8.83203125" style="161"/>
    <col min="6662" max="6662" width="14.33203125" style="161" customWidth="1"/>
    <col min="6663" max="6669" width="8.83203125" style="161"/>
    <col min="6670" max="6670" width="13.83203125" style="161" customWidth="1"/>
    <col min="6671" max="6672" width="8.83203125" style="161"/>
    <col min="6673" max="6673" width="13.1640625" style="161" customWidth="1"/>
    <col min="6674" max="6912" width="8.83203125" style="161"/>
    <col min="6913" max="6913" width="13.33203125" style="161" customWidth="1"/>
    <col min="6914" max="6917" width="8.83203125" style="161"/>
    <col min="6918" max="6918" width="14.33203125" style="161" customWidth="1"/>
    <col min="6919" max="6925" width="8.83203125" style="161"/>
    <col min="6926" max="6926" width="13.83203125" style="161" customWidth="1"/>
    <col min="6927" max="6928" width="8.83203125" style="161"/>
    <col min="6929" max="6929" width="13.1640625" style="161" customWidth="1"/>
    <col min="6930" max="7168" width="8.83203125" style="161"/>
    <col min="7169" max="7169" width="13.33203125" style="161" customWidth="1"/>
    <col min="7170" max="7173" width="8.83203125" style="161"/>
    <col min="7174" max="7174" width="14.33203125" style="161" customWidth="1"/>
    <col min="7175" max="7181" width="8.83203125" style="161"/>
    <col min="7182" max="7182" width="13.83203125" style="161" customWidth="1"/>
    <col min="7183" max="7184" width="8.83203125" style="161"/>
    <col min="7185" max="7185" width="13.1640625" style="161" customWidth="1"/>
    <col min="7186" max="7424" width="8.83203125" style="161"/>
    <col min="7425" max="7425" width="13.33203125" style="161" customWidth="1"/>
    <col min="7426" max="7429" width="8.83203125" style="161"/>
    <col min="7430" max="7430" width="14.33203125" style="161" customWidth="1"/>
    <col min="7431" max="7437" width="8.83203125" style="161"/>
    <col min="7438" max="7438" width="13.83203125" style="161" customWidth="1"/>
    <col min="7439" max="7440" width="8.83203125" style="161"/>
    <col min="7441" max="7441" width="13.1640625" style="161" customWidth="1"/>
    <col min="7442" max="7680" width="8.83203125" style="161"/>
    <col min="7681" max="7681" width="13.33203125" style="161" customWidth="1"/>
    <col min="7682" max="7685" width="8.83203125" style="161"/>
    <col min="7686" max="7686" width="14.33203125" style="161" customWidth="1"/>
    <col min="7687" max="7693" width="8.83203125" style="161"/>
    <col min="7694" max="7694" width="13.83203125" style="161" customWidth="1"/>
    <col min="7695" max="7696" width="8.83203125" style="161"/>
    <col min="7697" max="7697" width="13.1640625" style="161" customWidth="1"/>
    <col min="7698" max="7936" width="8.83203125" style="161"/>
    <col min="7937" max="7937" width="13.33203125" style="161" customWidth="1"/>
    <col min="7938" max="7941" width="8.83203125" style="161"/>
    <col min="7942" max="7942" width="14.33203125" style="161" customWidth="1"/>
    <col min="7943" max="7949" width="8.83203125" style="161"/>
    <col min="7950" max="7950" width="13.83203125" style="161" customWidth="1"/>
    <col min="7951" max="7952" width="8.83203125" style="161"/>
    <col min="7953" max="7953" width="13.1640625" style="161" customWidth="1"/>
    <col min="7954" max="8192" width="8.83203125" style="161"/>
    <col min="8193" max="8193" width="13.33203125" style="161" customWidth="1"/>
    <col min="8194" max="8197" width="8.83203125" style="161"/>
    <col min="8198" max="8198" width="14.33203125" style="161" customWidth="1"/>
    <col min="8199" max="8205" width="8.83203125" style="161"/>
    <col min="8206" max="8206" width="13.83203125" style="161" customWidth="1"/>
    <col min="8207" max="8208" width="8.83203125" style="161"/>
    <col min="8209" max="8209" width="13.1640625" style="161" customWidth="1"/>
    <col min="8210" max="8448" width="8.83203125" style="161"/>
    <col min="8449" max="8449" width="13.33203125" style="161" customWidth="1"/>
    <col min="8450" max="8453" width="8.83203125" style="161"/>
    <col min="8454" max="8454" width="14.33203125" style="161" customWidth="1"/>
    <col min="8455" max="8461" width="8.83203125" style="161"/>
    <col min="8462" max="8462" width="13.83203125" style="161" customWidth="1"/>
    <col min="8463" max="8464" width="8.83203125" style="161"/>
    <col min="8465" max="8465" width="13.1640625" style="161" customWidth="1"/>
    <col min="8466" max="8704" width="8.83203125" style="161"/>
    <col min="8705" max="8705" width="13.33203125" style="161" customWidth="1"/>
    <col min="8706" max="8709" width="8.83203125" style="161"/>
    <col min="8710" max="8710" width="14.33203125" style="161" customWidth="1"/>
    <col min="8711" max="8717" width="8.83203125" style="161"/>
    <col min="8718" max="8718" width="13.83203125" style="161" customWidth="1"/>
    <col min="8719" max="8720" width="8.83203125" style="161"/>
    <col min="8721" max="8721" width="13.1640625" style="161" customWidth="1"/>
    <col min="8722" max="8960" width="8.83203125" style="161"/>
    <col min="8961" max="8961" width="13.33203125" style="161" customWidth="1"/>
    <col min="8962" max="8965" width="8.83203125" style="161"/>
    <col min="8966" max="8966" width="14.33203125" style="161" customWidth="1"/>
    <col min="8967" max="8973" width="8.83203125" style="161"/>
    <col min="8974" max="8974" width="13.83203125" style="161" customWidth="1"/>
    <col min="8975" max="8976" width="8.83203125" style="161"/>
    <col min="8977" max="8977" width="13.1640625" style="161" customWidth="1"/>
    <col min="8978" max="9216" width="8.83203125" style="161"/>
    <col min="9217" max="9217" width="13.33203125" style="161" customWidth="1"/>
    <col min="9218" max="9221" width="8.83203125" style="161"/>
    <col min="9222" max="9222" width="14.33203125" style="161" customWidth="1"/>
    <col min="9223" max="9229" width="8.83203125" style="161"/>
    <col min="9230" max="9230" width="13.83203125" style="161" customWidth="1"/>
    <col min="9231" max="9232" width="8.83203125" style="161"/>
    <col min="9233" max="9233" width="13.1640625" style="161" customWidth="1"/>
    <col min="9234" max="9472" width="8.83203125" style="161"/>
    <col min="9473" max="9473" width="13.33203125" style="161" customWidth="1"/>
    <col min="9474" max="9477" width="8.83203125" style="161"/>
    <col min="9478" max="9478" width="14.33203125" style="161" customWidth="1"/>
    <col min="9479" max="9485" width="8.83203125" style="161"/>
    <col min="9486" max="9486" width="13.83203125" style="161" customWidth="1"/>
    <col min="9487" max="9488" width="8.83203125" style="161"/>
    <col min="9489" max="9489" width="13.1640625" style="161" customWidth="1"/>
    <col min="9490" max="9728" width="8.83203125" style="161"/>
    <col min="9729" max="9729" width="13.33203125" style="161" customWidth="1"/>
    <col min="9730" max="9733" width="8.83203125" style="161"/>
    <col min="9734" max="9734" width="14.33203125" style="161" customWidth="1"/>
    <col min="9735" max="9741" width="8.83203125" style="161"/>
    <col min="9742" max="9742" width="13.83203125" style="161" customWidth="1"/>
    <col min="9743" max="9744" width="8.83203125" style="161"/>
    <col min="9745" max="9745" width="13.1640625" style="161" customWidth="1"/>
    <col min="9746" max="9984" width="8.83203125" style="161"/>
    <col min="9985" max="9985" width="13.33203125" style="161" customWidth="1"/>
    <col min="9986" max="9989" width="8.83203125" style="161"/>
    <col min="9990" max="9990" width="14.33203125" style="161" customWidth="1"/>
    <col min="9991" max="9997" width="8.83203125" style="161"/>
    <col min="9998" max="9998" width="13.83203125" style="161" customWidth="1"/>
    <col min="9999" max="10000" width="8.83203125" style="161"/>
    <col min="10001" max="10001" width="13.1640625" style="161" customWidth="1"/>
    <col min="10002" max="10240" width="8.83203125" style="161"/>
    <col min="10241" max="10241" width="13.33203125" style="161" customWidth="1"/>
    <col min="10242" max="10245" width="8.83203125" style="161"/>
    <col min="10246" max="10246" width="14.33203125" style="161" customWidth="1"/>
    <col min="10247" max="10253" width="8.83203125" style="161"/>
    <col min="10254" max="10254" width="13.83203125" style="161" customWidth="1"/>
    <col min="10255" max="10256" width="8.83203125" style="161"/>
    <col min="10257" max="10257" width="13.1640625" style="161" customWidth="1"/>
    <col min="10258" max="10496" width="8.83203125" style="161"/>
    <col min="10497" max="10497" width="13.33203125" style="161" customWidth="1"/>
    <col min="10498" max="10501" width="8.83203125" style="161"/>
    <col min="10502" max="10502" width="14.33203125" style="161" customWidth="1"/>
    <col min="10503" max="10509" width="8.83203125" style="161"/>
    <col min="10510" max="10510" width="13.83203125" style="161" customWidth="1"/>
    <col min="10511" max="10512" width="8.83203125" style="161"/>
    <col min="10513" max="10513" width="13.1640625" style="161" customWidth="1"/>
    <col min="10514" max="10752" width="8.83203125" style="161"/>
    <col min="10753" max="10753" width="13.33203125" style="161" customWidth="1"/>
    <col min="10754" max="10757" width="8.83203125" style="161"/>
    <col min="10758" max="10758" width="14.33203125" style="161" customWidth="1"/>
    <col min="10759" max="10765" width="8.83203125" style="161"/>
    <col min="10766" max="10766" width="13.83203125" style="161" customWidth="1"/>
    <col min="10767" max="10768" width="8.83203125" style="161"/>
    <col min="10769" max="10769" width="13.1640625" style="161" customWidth="1"/>
    <col min="10770" max="11008" width="8.83203125" style="161"/>
    <col min="11009" max="11009" width="13.33203125" style="161" customWidth="1"/>
    <col min="11010" max="11013" width="8.83203125" style="161"/>
    <col min="11014" max="11014" width="14.33203125" style="161" customWidth="1"/>
    <col min="11015" max="11021" width="8.83203125" style="161"/>
    <col min="11022" max="11022" width="13.83203125" style="161" customWidth="1"/>
    <col min="11023" max="11024" width="8.83203125" style="161"/>
    <col min="11025" max="11025" width="13.1640625" style="161" customWidth="1"/>
    <col min="11026" max="11264" width="8.83203125" style="161"/>
    <col min="11265" max="11265" width="13.33203125" style="161" customWidth="1"/>
    <col min="11266" max="11269" width="8.83203125" style="161"/>
    <col min="11270" max="11270" width="14.33203125" style="161" customWidth="1"/>
    <col min="11271" max="11277" width="8.83203125" style="161"/>
    <col min="11278" max="11278" width="13.83203125" style="161" customWidth="1"/>
    <col min="11279" max="11280" width="8.83203125" style="161"/>
    <col min="11281" max="11281" width="13.1640625" style="161" customWidth="1"/>
    <col min="11282" max="11520" width="8.83203125" style="161"/>
    <col min="11521" max="11521" width="13.33203125" style="161" customWidth="1"/>
    <col min="11522" max="11525" width="8.83203125" style="161"/>
    <col min="11526" max="11526" width="14.33203125" style="161" customWidth="1"/>
    <col min="11527" max="11533" width="8.83203125" style="161"/>
    <col min="11534" max="11534" width="13.83203125" style="161" customWidth="1"/>
    <col min="11535" max="11536" width="8.83203125" style="161"/>
    <col min="11537" max="11537" width="13.1640625" style="161" customWidth="1"/>
    <col min="11538" max="11776" width="8.83203125" style="161"/>
    <col min="11777" max="11777" width="13.33203125" style="161" customWidth="1"/>
    <col min="11778" max="11781" width="8.83203125" style="161"/>
    <col min="11782" max="11782" width="14.33203125" style="161" customWidth="1"/>
    <col min="11783" max="11789" width="8.83203125" style="161"/>
    <col min="11790" max="11790" width="13.83203125" style="161" customWidth="1"/>
    <col min="11791" max="11792" width="8.83203125" style="161"/>
    <col min="11793" max="11793" width="13.1640625" style="161" customWidth="1"/>
    <col min="11794" max="12032" width="8.83203125" style="161"/>
    <col min="12033" max="12033" width="13.33203125" style="161" customWidth="1"/>
    <col min="12034" max="12037" width="8.83203125" style="161"/>
    <col min="12038" max="12038" width="14.33203125" style="161" customWidth="1"/>
    <col min="12039" max="12045" width="8.83203125" style="161"/>
    <col min="12046" max="12046" width="13.83203125" style="161" customWidth="1"/>
    <col min="12047" max="12048" width="8.83203125" style="161"/>
    <col min="12049" max="12049" width="13.1640625" style="161" customWidth="1"/>
    <col min="12050" max="12288" width="8.83203125" style="161"/>
    <col min="12289" max="12289" width="13.33203125" style="161" customWidth="1"/>
    <col min="12290" max="12293" width="8.83203125" style="161"/>
    <col min="12294" max="12294" width="14.33203125" style="161" customWidth="1"/>
    <col min="12295" max="12301" width="8.83203125" style="161"/>
    <col min="12302" max="12302" width="13.83203125" style="161" customWidth="1"/>
    <col min="12303" max="12304" width="8.83203125" style="161"/>
    <col min="12305" max="12305" width="13.1640625" style="161" customWidth="1"/>
    <col min="12306" max="12544" width="8.83203125" style="161"/>
    <col min="12545" max="12545" width="13.33203125" style="161" customWidth="1"/>
    <col min="12546" max="12549" width="8.83203125" style="161"/>
    <col min="12550" max="12550" width="14.33203125" style="161" customWidth="1"/>
    <col min="12551" max="12557" width="8.83203125" style="161"/>
    <col min="12558" max="12558" width="13.83203125" style="161" customWidth="1"/>
    <col min="12559" max="12560" width="8.83203125" style="161"/>
    <col min="12561" max="12561" width="13.1640625" style="161" customWidth="1"/>
    <col min="12562" max="12800" width="8.83203125" style="161"/>
    <col min="12801" max="12801" width="13.33203125" style="161" customWidth="1"/>
    <col min="12802" max="12805" width="8.83203125" style="161"/>
    <col min="12806" max="12806" width="14.33203125" style="161" customWidth="1"/>
    <col min="12807" max="12813" width="8.83203125" style="161"/>
    <col min="12814" max="12814" width="13.83203125" style="161" customWidth="1"/>
    <col min="12815" max="12816" width="8.83203125" style="161"/>
    <col min="12817" max="12817" width="13.1640625" style="161" customWidth="1"/>
    <col min="12818" max="13056" width="8.83203125" style="161"/>
    <col min="13057" max="13057" width="13.33203125" style="161" customWidth="1"/>
    <col min="13058" max="13061" width="8.83203125" style="161"/>
    <col min="13062" max="13062" width="14.33203125" style="161" customWidth="1"/>
    <col min="13063" max="13069" width="8.83203125" style="161"/>
    <col min="13070" max="13070" width="13.83203125" style="161" customWidth="1"/>
    <col min="13071" max="13072" width="8.83203125" style="161"/>
    <col min="13073" max="13073" width="13.1640625" style="161" customWidth="1"/>
    <col min="13074" max="13312" width="8.83203125" style="161"/>
    <col min="13313" max="13313" width="13.33203125" style="161" customWidth="1"/>
    <col min="13314" max="13317" width="8.83203125" style="161"/>
    <col min="13318" max="13318" width="14.33203125" style="161" customWidth="1"/>
    <col min="13319" max="13325" width="8.83203125" style="161"/>
    <col min="13326" max="13326" width="13.83203125" style="161" customWidth="1"/>
    <col min="13327" max="13328" width="8.83203125" style="161"/>
    <col min="13329" max="13329" width="13.1640625" style="161" customWidth="1"/>
    <col min="13330" max="13568" width="8.83203125" style="161"/>
    <col min="13569" max="13569" width="13.33203125" style="161" customWidth="1"/>
    <col min="13570" max="13573" width="8.83203125" style="161"/>
    <col min="13574" max="13574" width="14.33203125" style="161" customWidth="1"/>
    <col min="13575" max="13581" width="8.83203125" style="161"/>
    <col min="13582" max="13582" width="13.83203125" style="161" customWidth="1"/>
    <col min="13583" max="13584" width="8.83203125" style="161"/>
    <col min="13585" max="13585" width="13.1640625" style="161" customWidth="1"/>
    <col min="13586" max="13824" width="8.83203125" style="161"/>
    <col min="13825" max="13825" width="13.33203125" style="161" customWidth="1"/>
    <col min="13826" max="13829" width="8.83203125" style="161"/>
    <col min="13830" max="13830" width="14.33203125" style="161" customWidth="1"/>
    <col min="13831" max="13837" width="8.83203125" style="161"/>
    <col min="13838" max="13838" width="13.83203125" style="161" customWidth="1"/>
    <col min="13839" max="13840" width="8.83203125" style="161"/>
    <col min="13841" max="13841" width="13.1640625" style="161" customWidth="1"/>
    <col min="13842" max="14080" width="8.83203125" style="161"/>
    <col min="14081" max="14081" width="13.33203125" style="161" customWidth="1"/>
    <col min="14082" max="14085" width="8.83203125" style="161"/>
    <col min="14086" max="14086" width="14.33203125" style="161" customWidth="1"/>
    <col min="14087" max="14093" width="8.83203125" style="161"/>
    <col min="14094" max="14094" width="13.83203125" style="161" customWidth="1"/>
    <col min="14095" max="14096" width="8.83203125" style="161"/>
    <col min="14097" max="14097" width="13.1640625" style="161" customWidth="1"/>
    <col min="14098" max="14336" width="8.83203125" style="161"/>
    <col min="14337" max="14337" width="13.33203125" style="161" customWidth="1"/>
    <col min="14338" max="14341" width="8.83203125" style="161"/>
    <col min="14342" max="14342" width="14.33203125" style="161" customWidth="1"/>
    <col min="14343" max="14349" width="8.83203125" style="161"/>
    <col min="14350" max="14350" width="13.83203125" style="161" customWidth="1"/>
    <col min="14351" max="14352" width="8.83203125" style="161"/>
    <col min="14353" max="14353" width="13.1640625" style="161" customWidth="1"/>
    <col min="14354" max="14592" width="8.83203125" style="161"/>
    <col min="14593" max="14593" width="13.33203125" style="161" customWidth="1"/>
    <col min="14594" max="14597" width="8.83203125" style="161"/>
    <col min="14598" max="14598" width="14.33203125" style="161" customWidth="1"/>
    <col min="14599" max="14605" width="8.83203125" style="161"/>
    <col min="14606" max="14606" width="13.83203125" style="161" customWidth="1"/>
    <col min="14607" max="14608" width="8.83203125" style="161"/>
    <col min="14609" max="14609" width="13.1640625" style="161" customWidth="1"/>
    <col min="14610" max="14848" width="8.83203125" style="161"/>
    <col min="14849" max="14849" width="13.33203125" style="161" customWidth="1"/>
    <col min="14850" max="14853" width="8.83203125" style="161"/>
    <col min="14854" max="14854" width="14.33203125" style="161" customWidth="1"/>
    <col min="14855" max="14861" width="8.83203125" style="161"/>
    <col min="14862" max="14862" width="13.83203125" style="161" customWidth="1"/>
    <col min="14863" max="14864" width="8.83203125" style="161"/>
    <col min="14865" max="14865" width="13.1640625" style="161" customWidth="1"/>
    <col min="14866" max="15104" width="8.83203125" style="161"/>
    <col min="15105" max="15105" width="13.33203125" style="161" customWidth="1"/>
    <col min="15106" max="15109" width="8.83203125" style="161"/>
    <col min="15110" max="15110" width="14.33203125" style="161" customWidth="1"/>
    <col min="15111" max="15117" width="8.83203125" style="161"/>
    <col min="15118" max="15118" width="13.83203125" style="161" customWidth="1"/>
    <col min="15119" max="15120" width="8.83203125" style="161"/>
    <col min="15121" max="15121" width="13.1640625" style="161" customWidth="1"/>
    <col min="15122" max="15360" width="8.83203125" style="161"/>
    <col min="15361" max="15361" width="13.33203125" style="161" customWidth="1"/>
    <col min="15362" max="15365" width="8.83203125" style="161"/>
    <col min="15366" max="15366" width="14.33203125" style="161" customWidth="1"/>
    <col min="15367" max="15373" width="8.83203125" style="161"/>
    <col min="15374" max="15374" width="13.83203125" style="161" customWidth="1"/>
    <col min="15375" max="15376" width="8.83203125" style="161"/>
    <col min="15377" max="15377" width="13.1640625" style="161" customWidth="1"/>
    <col min="15378" max="15616" width="8.83203125" style="161"/>
    <col min="15617" max="15617" width="13.33203125" style="161" customWidth="1"/>
    <col min="15618" max="15621" width="8.83203125" style="161"/>
    <col min="15622" max="15622" width="14.33203125" style="161" customWidth="1"/>
    <col min="15623" max="15629" width="8.83203125" style="161"/>
    <col min="15630" max="15630" width="13.83203125" style="161" customWidth="1"/>
    <col min="15631" max="15632" width="8.83203125" style="161"/>
    <col min="15633" max="15633" width="13.1640625" style="161" customWidth="1"/>
    <col min="15634" max="15872" width="8.83203125" style="161"/>
    <col min="15873" max="15873" width="13.33203125" style="161" customWidth="1"/>
    <col min="15874" max="15877" width="8.83203125" style="161"/>
    <col min="15878" max="15878" width="14.33203125" style="161" customWidth="1"/>
    <col min="15879" max="15885" width="8.83203125" style="161"/>
    <col min="15886" max="15886" width="13.83203125" style="161" customWidth="1"/>
    <col min="15887" max="15888" width="8.83203125" style="161"/>
    <col min="15889" max="15889" width="13.1640625" style="161" customWidth="1"/>
    <col min="15890" max="16128" width="8.83203125" style="161"/>
    <col min="16129" max="16129" width="13.33203125" style="161" customWidth="1"/>
    <col min="16130" max="16133" width="8.83203125" style="161"/>
    <col min="16134" max="16134" width="14.33203125" style="161" customWidth="1"/>
    <col min="16135" max="16141" width="8.83203125" style="161"/>
    <col min="16142" max="16142" width="13.83203125" style="161" customWidth="1"/>
    <col min="16143" max="16144" width="8.83203125" style="161"/>
    <col min="16145" max="16145" width="13.1640625" style="161" customWidth="1"/>
    <col min="16146" max="16384" width="8.83203125" style="161"/>
  </cols>
  <sheetData>
    <row r="1" spans="1:19" x14ac:dyDescent="0.15">
      <c r="A1" s="160" t="s">
        <v>567</v>
      </c>
      <c r="B1" s="160" t="s">
        <v>851</v>
      </c>
      <c r="C1" s="160" t="s">
        <v>852</v>
      </c>
      <c r="D1" s="160" t="s">
        <v>853</v>
      </c>
      <c r="E1" s="160" t="s">
        <v>854</v>
      </c>
      <c r="F1" s="160" t="s">
        <v>855</v>
      </c>
      <c r="G1" s="160" t="s">
        <v>856</v>
      </c>
      <c r="H1" s="160" t="s">
        <v>857</v>
      </c>
      <c r="I1" s="160" t="s">
        <v>858</v>
      </c>
      <c r="J1" s="160" t="s">
        <v>859</v>
      </c>
      <c r="K1" s="160" t="s">
        <v>860</v>
      </c>
      <c r="L1" s="160" t="s">
        <v>861</v>
      </c>
      <c r="M1" s="160" t="s">
        <v>862</v>
      </c>
      <c r="N1" s="160" t="s">
        <v>863</v>
      </c>
      <c r="O1" s="160" t="s">
        <v>864</v>
      </c>
      <c r="P1" s="160" t="s">
        <v>865</v>
      </c>
      <c r="Q1" s="160" t="s">
        <v>866</v>
      </c>
      <c r="S1" s="166" t="s">
        <v>910</v>
      </c>
    </row>
    <row r="2" spans="1:19" x14ac:dyDescent="0.15">
      <c r="A2" s="160" t="s">
        <v>867</v>
      </c>
      <c r="B2" s="162" t="s">
        <v>1242</v>
      </c>
      <c r="C2" s="160" t="s">
        <v>868</v>
      </c>
      <c r="D2" s="160" t="s">
        <v>869</v>
      </c>
      <c r="E2" s="160" t="s">
        <v>870</v>
      </c>
      <c r="F2" s="160">
        <f>+'Cash Flow $s Yr1'!D55-F3</f>
        <v>17552.259000000002</v>
      </c>
      <c r="G2" s="160">
        <f>+'Cash Flow $s Yr1'!E55-G3</f>
        <v>17552.259000000002</v>
      </c>
      <c r="H2" s="160">
        <f>+'Cash Flow $s Yr1'!F55-H3</f>
        <v>17552.259000000002</v>
      </c>
      <c r="I2" s="160">
        <f>+'Cash Flow $s Yr1'!G55-I3</f>
        <v>-17563.990999999998</v>
      </c>
      <c r="J2" s="160">
        <f>+'Cash Flow $s Yr1'!H55-J3</f>
        <v>17552.259000000002</v>
      </c>
      <c r="K2" s="160">
        <f>+'Cash Flow $s Yr1'!I55-K3</f>
        <v>17552.259000000002</v>
      </c>
      <c r="L2" s="160">
        <f>+'Cash Flow $s Yr1'!J55-L3</f>
        <v>-17563.990999999998</v>
      </c>
      <c r="M2" s="160">
        <f>+'Cash Flow $s Yr1'!K55-M3</f>
        <v>17552.259000000002</v>
      </c>
      <c r="N2" s="160">
        <f>+'Cash Flow $s Yr1'!L55-N3</f>
        <v>17763.732</v>
      </c>
      <c r="O2" s="160">
        <f>+'Cash Flow $s Yr1'!M55-O3</f>
        <v>-17352.518</v>
      </c>
      <c r="P2" s="160">
        <f>+'Cash Flow $s Yr1'!N55-P3</f>
        <v>17763.732</v>
      </c>
      <c r="Q2" s="160">
        <f>+'Cash Flow $s Yr1'!O55-Q3</f>
        <v>-17352.518</v>
      </c>
      <c r="R2" s="287">
        <f>SUM(F2:Q2)</f>
        <v>71008.000000000044</v>
      </c>
      <c r="S2" s="167" t="s">
        <v>911</v>
      </c>
    </row>
    <row r="3" spans="1:19" x14ac:dyDescent="0.15">
      <c r="A3" s="162" t="s">
        <v>1212</v>
      </c>
      <c r="B3" s="162" t="s">
        <v>1242</v>
      </c>
      <c r="C3" s="160" t="s">
        <v>868</v>
      </c>
      <c r="D3" s="160" t="s">
        <v>869</v>
      </c>
      <c r="E3" s="160" t="s">
        <v>870</v>
      </c>
      <c r="F3" s="160">
        <v>0</v>
      </c>
      <c r="G3" s="160">
        <v>0</v>
      </c>
      <c r="H3" s="160">
        <v>0</v>
      </c>
      <c r="I3" s="160">
        <v>35116.25</v>
      </c>
      <c r="J3" s="160">
        <v>0</v>
      </c>
      <c r="K3" s="160">
        <v>0</v>
      </c>
      <c r="L3" s="160">
        <v>35116.25</v>
      </c>
      <c r="M3" s="160">
        <v>0</v>
      </c>
      <c r="N3" s="160">
        <v>0</v>
      </c>
      <c r="O3" s="160">
        <v>35116.25</v>
      </c>
      <c r="P3" s="160">
        <v>0</v>
      </c>
      <c r="Q3" s="160">
        <v>35116.25</v>
      </c>
      <c r="R3" s="287">
        <f t="shared" ref="R3" si="0">SUM(F3:Q3)</f>
        <v>140465</v>
      </c>
      <c r="S3" s="167"/>
    </row>
    <row r="4" spans="1:19" x14ac:dyDescent="0.15">
      <c r="A4" s="160" t="s">
        <v>871</v>
      </c>
      <c r="B4" s="162" t="s">
        <v>1242</v>
      </c>
      <c r="C4" s="160" t="s">
        <v>868</v>
      </c>
      <c r="D4" s="160" t="s">
        <v>869</v>
      </c>
      <c r="E4" s="160" t="s">
        <v>870</v>
      </c>
      <c r="F4" s="160">
        <v>0</v>
      </c>
      <c r="G4" s="160">
        <v>0</v>
      </c>
      <c r="H4" s="160">
        <v>0</v>
      </c>
      <c r="I4" s="160">
        <v>0</v>
      </c>
      <c r="J4" s="160">
        <v>0</v>
      </c>
      <c r="K4" s="160">
        <f>+'Cash Flow $s Yr1'!I56</f>
        <v>1500</v>
      </c>
      <c r="L4" s="160">
        <v>0</v>
      </c>
      <c r="M4" s="160">
        <v>0</v>
      </c>
      <c r="N4" s="160">
        <v>0</v>
      </c>
      <c r="O4" s="160">
        <v>0</v>
      </c>
      <c r="P4" s="160">
        <v>0</v>
      </c>
      <c r="Q4" s="160">
        <v>0</v>
      </c>
      <c r="R4" s="287">
        <f t="shared" ref="R4:R11" si="1">SUM(F4:Q4)</f>
        <v>1500</v>
      </c>
      <c r="S4" s="167"/>
    </row>
    <row r="5" spans="1:19" x14ac:dyDescent="0.15">
      <c r="A5" s="160" t="s">
        <v>872</v>
      </c>
      <c r="B5" s="162" t="s">
        <v>1242</v>
      </c>
      <c r="C5" s="160" t="s">
        <v>868</v>
      </c>
      <c r="D5" s="160" t="s">
        <v>869</v>
      </c>
      <c r="E5" s="160" t="s">
        <v>870</v>
      </c>
      <c r="F5" s="296">
        <f>+'Cash Flow $s Yr1'!D59</f>
        <v>5021.8320000000003</v>
      </c>
      <c r="G5" s="296">
        <f>+'Cash Flow $s Yr1'!E59</f>
        <v>5021.8320000000003</v>
      </c>
      <c r="H5" s="296">
        <f>+'Cash Flow $s Yr1'!F59</f>
        <v>5021.8320000000003</v>
      </c>
      <c r="I5" s="296">
        <f>+'Cash Flow $s Yr1'!G59</f>
        <v>5021.8320000000003</v>
      </c>
      <c r="J5" s="296">
        <f>+'Cash Flow $s Yr1'!H59</f>
        <v>5021.8320000000003</v>
      </c>
      <c r="K5" s="296">
        <f>+'Cash Flow $s Yr1'!I59</f>
        <v>5021.8320000000003</v>
      </c>
      <c r="L5" s="296">
        <f>+'Cash Flow $s Yr1'!J59</f>
        <v>5021.8320000000003</v>
      </c>
      <c r="M5" s="296">
        <f>+'Cash Flow $s Yr1'!K59</f>
        <v>5021.8320000000003</v>
      </c>
      <c r="N5" s="296">
        <f>+'Cash Flow $s Yr1'!L59</f>
        <v>5082.3360000000002</v>
      </c>
      <c r="O5" s="296">
        <f>+'Cash Flow $s Yr1'!M59</f>
        <v>5082.3360000000002</v>
      </c>
      <c r="P5" s="296">
        <f>+'Cash Flow $s Yr1'!N59</f>
        <v>5082.3360000000002</v>
      </c>
      <c r="Q5" s="296">
        <f>+'Cash Flow $s Yr1'!O59</f>
        <v>5082.3360000000002</v>
      </c>
      <c r="R5" s="287">
        <f t="shared" si="1"/>
        <v>60504.000000000022</v>
      </c>
    </row>
    <row r="6" spans="1:19" x14ac:dyDescent="0.15">
      <c r="A6" s="160" t="s">
        <v>873</v>
      </c>
      <c r="B6" s="162" t="s">
        <v>1242</v>
      </c>
      <c r="C6" s="160" t="s">
        <v>868</v>
      </c>
      <c r="D6" s="160" t="s">
        <v>869</v>
      </c>
      <c r="E6" s="160" t="s">
        <v>870</v>
      </c>
      <c r="F6" s="160">
        <v>0</v>
      </c>
      <c r="G6" s="160">
        <v>0</v>
      </c>
      <c r="H6" s="160">
        <v>0</v>
      </c>
      <c r="I6" s="160">
        <v>0</v>
      </c>
      <c r="J6" s="160">
        <v>0</v>
      </c>
      <c r="K6" s="160">
        <f>+'Cash Flow $s Yr1'!I60</f>
        <v>0</v>
      </c>
      <c r="L6" s="160">
        <v>0</v>
      </c>
      <c r="M6" s="160">
        <v>0</v>
      </c>
      <c r="N6" s="160">
        <v>0</v>
      </c>
      <c r="O6" s="160">
        <v>0</v>
      </c>
      <c r="P6" s="160">
        <v>0</v>
      </c>
      <c r="Q6" s="160">
        <v>0</v>
      </c>
      <c r="R6" s="287">
        <f t="shared" si="1"/>
        <v>0</v>
      </c>
    </row>
    <row r="7" spans="1:19" x14ac:dyDescent="0.15">
      <c r="A7" s="160" t="s">
        <v>874</v>
      </c>
      <c r="B7" s="162" t="s">
        <v>1242</v>
      </c>
      <c r="C7" s="160" t="s">
        <v>868</v>
      </c>
      <c r="D7" s="160" t="s">
        <v>869</v>
      </c>
      <c r="E7" s="160" t="s">
        <v>870</v>
      </c>
      <c r="F7" s="160">
        <f>+'Cash Flow $s Yr1'!D66</f>
        <v>0</v>
      </c>
      <c r="G7" s="160">
        <f>+'Cash Flow $s Yr1'!E66</f>
        <v>0</v>
      </c>
      <c r="H7" s="160">
        <f>+'Cash Flow $s Yr1'!F66</f>
        <v>5491.5</v>
      </c>
      <c r="I7" s="160">
        <f>+'Cash Flow $s Yr1'!G66</f>
        <v>5491.5</v>
      </c>
      <c r="J7" s="160">
        <f>+'Cash Flow $s Yr1'!H66</f>
        <v>5491.5</v>
      </c>
      <c r="K7" s="160">
        <f>+'Cash Flow $s Yr1'!I66</f>
        <v>5491.5</v>
      </c>
      <c r="L7" s="160">
        <f>+'Cash Flow $s Yr1'!J66</f>
        <v>5491.5</v>
      </c>
      <c r="M7" s="160">
        <f>+'Cash Flow $s Yr1'!K66</f>
        <v>5491.5</v>
      </c>
      <c r="N7" s="160">
        <f>+'Cash Flow $s Yr1'!L66</f>
        <v>5491.5</v>
      </c>
      <c r="O7" s="160">
        <f>+'Cash Flow $s Yr1'!M66</f>
        <v>5491.5</v>
      </c>
      <c r="P7" s="160">
        <f>+'Cash Flow $s Yr1'!N66</f>
        <v>5491.5</v>
      </c>
      <c r="Q7" s="160">
        <f>+'Cash Flow $s Yr1'!O66</f>
        <v>5491.5</v>
      </c>
      <c r="R7" s="287">
        <f t="shared" si="1"/>
        <v>54915</v>
      </c>
    </row>
    <row r="8" spans="1:19" x14ac:dyDescent="0.15">
      <c r="A8" s="160" t="s">
        <v>875</v>
      </c>
      <c r="B8" s="162" t="s">
        <v>1242</v>
      </c>
      <c r="C8" s="160" t="s">
        <v>868</v>
      </c>
      <c r="D8" s="160" t="s">
        <v>869</v>
      </c>
      <c r="E8" s="160" t="s">
        <v>870</v>
      </c>
      <c r="F8" s="160">
        <f>IFERROR((VLOOKUP(LEFT($A8,4),'Cash Flow $s Yr1'!$B$12:$R$154,3,FALSE)),0)</f>
        <v>0</v>
      </c>
      <c r="G8" s="160">
        <f>IFERROR((VLOOKUP(LEFT($A8,4),'Cash Flow $s Yr1'!$B$12:$R$154,4,FALSE)),0)</f>
        <v>0</v>
      </c>
      <c r="H8" s="160">
        <f>IFERROR((VLOOKUP(LEFT($A8,4),'Cash Flow $s Yr1'!$B$12:$R$154,5,FALSE)),0)</f>
        <v>1966.1000000000001</v>
      </c>
      <c r="I8" s="160">
        <f>IFERROR((VLOOKUP(LEFT($A8,4),'Cash Flow $s Yr1'!$B$12:$R$154,6,FALSE)),0)</f>
        <v>1966.1000000000001</v>
      </c>
      <c r="J8" s="160">
        <f>IFERROR((VLOOKUP(LEFT($A8,4),'Cash Flow $s Yr1'!$B$12:$R$154,7,FALSE)),0)</f>
        <v>1966.1000000000001</v>
      </c>
      <c r="K8" s="160">
        <f>IFERROR((VLOOKUP(LEFT($A8,4),'Cash Flow $s Yr1'!$B$12:$R$154,8,FALSE)),0)</f>
        <v>1966.1000000000001</v>
      </c>
      <c r="L8" s="160">
        <f>IFERROR((VLOOKUP(LEFT($A8,4),'Cash Flow $s Yr1'!$B$12:$R$154,9,FALSE)),0)</f>
        <v>1966.1000000000001</v>
      </c>
      <c r="M8" s="160">
        <f>IFERROR((VLOOKUP(LEFT($A8,4),'Cash Flow $s Yr1'!$B$12:$R$154,10,FALSE)),0)</f>
        <v>1966.1000000000001</v>
      </c>
      <c r="N8" s="160">
        <f>IFERROR((VLOOKUP(LEFT($A8,4),'Cash Flow $s Yr1'!$B$12:$R$154,11,FALSE)),0)</f>
        <v>1966.1000000000001</v>
      </c>
      <c r="O8" s="160">
        <f>IFERROR((VLOOKUP(LEFT($A8,4),'Cash Flow $s Yr1'!$B$12:$R$154,12,FALSE)),0)</f>
        <v>1966.1000000000001</v>
      </c>
      <c r="P8" s="160">
        <f>IFERROR((VLOOKUP(LEFT($A8,4),'Cash Flow $s Yr1'!$B$12:$R$154,13,FALSE)),0)</f>
        <v>1966.1000000000001</v>
      </c>
      <c r="Q8" s="160">
        <f>IFERROR((VLOOKUP(LEFT($A8,4),'Cash Flow $s Yr1'!$B$12:$R$154,14,FALSE)),0)</f>
        <v>1966.1000000000001</v>
      </c>
      <c r="R8" s="287">
        <f t="shared" si="1"/>
        <v>19661</v>
      </c>
    </row>
    <row r="9" spans="1:19" x14ac:dyDescent="0.15">
      <c r="A9" s="160" t="s">
        <v>876</v>
      </c>
      <c r="B9" s="162" t="s">
        <v>1242</v>
      </c>
      <c r="C9" s="160" t="s">
        <v>868</v>
      </c>
      <c r="D9" s="160" t="s">
        <v>869</v>
      </c>
      <c r="E9" s="160" t="s">
        <v>870</v>
      </c>
      <c r="F9" s="160">
        <f>IFERROR((VLOOKUP(LEFT($A9,4),'Cash Flow $s Yr1'!$B$12:$R$154,3,FALSE)),0)</f>
        <v>2389.9850000000001</v>
      </c>
      <c r="G9" s="160">
        <f>IFERROR((VLOOKUP(LEFT($A9,4),'Cash Flow $s Yr1'!$B$12:$R$154,4,FALSE)),0)</f>
        <v>2389.9850000000001</v>
      </c>
      <c r="H9" s="160">
        <f>IFERROR((VLOOKUP(LEFT($A9,4),'Cash Flow $s Yr1'!$B$12:$R$154,5,FALSE)),0)</f>
        <v>2389.9850000000001</v>
      </c>
      <c r="I9" s="160">
        <f>IFERROR((VLOOKUP(LEFT($A9,4),'Cash Flow $s Yr1'!$B$12:$R$154,6,FALSE)),0)</f>
        <v>2389.9850000000001</v>
      </c>
      <c r="J9" s="160">
        <f>IFERROR((VLOOKUP(LEFT($A9,4),'Cash Flow $s Yr1'!$B$12:$R$154,7,FALSE)),0)</f>
        <v>2389.9850000000001</v>
      </c>
      <c r="K9" s="160">
        <f>IFERROR((VLOOKUP(LEFT($A9,4),'Cash Flow $s Yr1'!$B$12:$R$154,8,FALSE)),0)</f>
        <v>2389.9850000000001</v>
      </c>
      <c r="L9" s="160">
        <f>IFERROR((VLOOKUP(LEFT($A9,4),'Cash Flow $s Yr1'!$B$12:$R$154,9,FALSE)),0)</f>
        <v>2389.9850000000001</v>
      </c>
      <c r="M9" s="160">
        <f>IFERROR((VLOOKUP(LEFT($A9,4),'Cash Flow $s Yr1'!$B$12:$R$154,10,FALSE)),0)</f>
        <v>2389.9850000000001</v>
      </c>
      <c r="N9" s="160">
        <f>IFERROR((VLOOKUP(LEFT($A9,4),'Cash Flow $s Yr1'!$B$12:$R$154,11,FALSE)),0)</f>
        <v>2418.7800000000002</v>
      </c>
      <c r="O9" s="160">
        <f>IFERROR((VLOOKUP(LEFT($A9,4),'Cash Flow $s Yr1'!$B$12:$R$154,12,FALSE)),0)</f>
        <v>2418.7800000000002</v>
      </c>
      <c r="P9" s="160">
        <f>IFERROR((VLOOKUP(LEFT($A9,4),'Cash Flow $s Yr1'!$B$12:$R$154,13,FALSE)),0)</f>
        <v>2418.7800000000002</v>
      </c>
      <c r="Q9" s="160">
        <f>IFERROR((VLOOKUP(LEFT($A9,4),'Cash Flow $s Yr1'!$B$12:$R$154,14,FALSE)),0)</f>
        <v>2418.7800000000002</v>
      </c>
      <c r="R9" s="287">
        <f t="shared" si="1"/>
        <v>28794.999999999996</v>
      </c>
    </row>
    <row r="10" spans="1:19" x14ac:dyDescent="0.15">
      <c r="A10" s="163" t="s">
        <v>906</v>
      </c>
      <c r="B10" s="162" t="s">
        <v>1242</v>
      </c>
      <c r="C10" s="160" t="s">
        <v>868</v>
      </c>
      <c r="D10" s="160" t="s">
        <v>869</v>
      </c>
      <c r="E10" s="160" t="s">
        <v>870</v>
      </c>
      <c r="F10" s="160">
        <f>IFERROR((VLOOKUP(LEFT($A10,4),'Cash Flow $s Yr1'!$B$12:$R$154,3,FALSE)),0)</f>
        <v>568.13499999999999</v>
      </c>
      <c r="G10" s="160">
        <f>IFERROR((VLOOKUP(LEFT($A10,4),'Cash Flow $s Yr1'!$B$12:$R$154,4,FALSE)),0)</f>
        <v>568.13499999999999</v>
      </c>
      <c r="H10" s="160">
        <f>IFERROR((VLOOKUP(LEFT($A10,4),'Cash Flow $s Yr1'!$B$12:$R$154,5,FALSE)),0)</f>
        <v>568.13499999999999</v>
      </c>
      <c r="I10" s="160">
        <f>IFERROR((VLOOKUP(LEFT($A10,4),'Cash Flow $s Yr1'!$B$12:$R$154,6,FALSE)),0)</f>
        <v>568.13499999999999</v>
      </c>
      <c r="J10" s="160">
        <f>IFERROR((VLOOKUP(LEFT($A10,4),'Cash Flow $s Yr1'!$B$12:$R$154,7,FALSE)),0)</f>
        <v>568.13499999999999</v>
      </c>
      <c r="K10" s="160">
        <f>IFERROR((VLOOKUP(LEFT($A10,4),'Cash Flow $s Yr1'!$B$12:$R$154,8,FALSE)),0)</f>
        <v>568.13499999999999</v>
      </c>
      <c r="L10" s="160">
        <f>IFERROR((VLOOKUP(LEFT($A10,4),'Cash Flow $s Yr1'!$B$12:$R$154,9,FALSE)),0)</f>
        <v>568.13499999999999</v>
      </c>
      <c r="M10" s="160">
        <f>IFERROR((VLOOKUP(LEFT($A10,4),'Cash Flow $s Yr1'!$B$12:$R$154,10,FALSE)),0)</f>
        <v>568.13499999999999</v>
      </c>
      <c r="N10" s="160">
        <f>IFERROR((VLOOKUP(LEFT($A10,4),'Cash Flow $s Yr1'!$B$12:$R$154,11,FALSE)),0)</f>
        <v>574.98</v>
      </c>
      <c r="O10" s="160">
        <f>IFERROR((VLOOKUP(LEFT($A10,4),'Cash Flow $s Yr1'!$B$12:$R$154,12,FALSE)),0)</f>
        <v>574.98</v>
      </c>
      <c r="P10" s="160">
        <f>IFERROR((VLOOKUP(LEFT($A10,4),'Cash Flow $s Yr1'!$B$12:$R$154,13,FALSE)),0)</f>
        <v>574.98</v>
      </c>
      <c r="Q10" s="160">
        <f>IFERROR((VLOOKUP(LEFT($A10,4),'Cash Flow $s Yr1'!$B$12:$R$154,14,FALSE)),0)</f>
        <v>574.98</v>
      </c>
      <c r="R10" s="287">
        <f t="shared" si="1"/>
        <v>6845</v>
      </c>
    </row>
    <row r="11" spans="1:19" x14ac:dyDescent="0.15">
      <c r="A11" s="163" t="s">
        <v>877</v>
      </c>
      <c r="B11" s="162" t="s">
        <v>1242</v>
      </c>
      <c r="C11" s="160" t="s">
        <v>868</v>
      </c>
      <c r="D11" s="160" t="s">
        <v>869</v>
      </c>
      <c r="E11" s="160" t="s">
        <v>870</v>
      </c>
      <c r="F11" s="160">
        <f>IFERROR((VLOOKUP(LEFT($A11,4),'Cash Flow $s Yr1'!$B$12:$R$154,3,FALSE)),0)</f>
        <v>398.23400000000004</v>
      </c>
      <c r="G11" s="160">
        <f>IFERROR((VLOOKUP(LEFT($A11,4),'Cash Flow $s Yr1'!$B$12:$R$154,4,FALSE)),0)</f>
        <v>398.23400000000004</v>
      </c>
      <c r="H11" s="160">
        <f>IFERROR((VLOOKUP(LEFT($A11,4),'Cash Flow $s Yr1'!$B$12:$R$154,5,FALSE)),0)</f>
        <v>398.23400000000004</v>
      </c>
      <c r="I11" s="160">
        <f>IFERROR((VLOOKUP(LEFT($A11,4),'Cash Flow $s Yr1'!$B$12:$R$154,6,FALSE)),0)</f>
        <v>398.23400000000004</v>
      </c>
      <c r="J11" s="160">
        <f>IFERROR((VLOOKUP(LEFT($A11,4),'Cash Flow $s Yr1'!$B$12:$R$154,7,FALSE)),0)</f>
        <v>398.23400000000004</v>
      </c>
      <c r="K11" s="160">
        <f>IFERROR((VLOOKUP(LEFT($A11,4),'Cash Flow $s Yr1'!$B$12:$R$154,8,FALSE)),0)</f>
        <v>398.23400000000004</v>
      </c>
      <c r="L11" s="160">
        <f>IFERROR((VLOOKUP(LEFT($A11,4),'Cash Flow $s Yr1'!$B$12:$R$154,9,FALSE)),0)</f>
        <v>398.23400000000004</v>
      </c>
      <c r="M11" s="160">
        <f>IFERROR((VLOOKUP(LEFT($A11,4),'Cash Flow $s Yr1'!$B$12:$R$154,10,FALSE)),0)</f>
        <v>398.23400000000004</v>
      </c>
      <c r="N11" s="160">
        <f>IFERROR((VLOOKUP(LEFT($A11,4),'Cash Flow $s Yr1'!$B$12:$R$154,11,FALSE)),0)</f>
        <v>403.03200000000004</v>
      </c>
      <c r="O11" s="160">
        <f>IFERROR((VLOOKUP(LEFT($A11,4),'Cash Flow $s Yr1'!$B$12:$R$154,12,FALSE)),0)</f>
        <v>403.03200000000004</v>
      </c>
      <c r="P11" s="160">
        <f>IFERROR((VLOOKUP(LEFT($A11,4),'Cash Flow $s Yr1'!$B$12:$R$154,13,FALSE)),0)</f>
        <v>403.03200000000004</v>
      </c>
      <c r="Q11" s="160">
        <f>IFERROR((VLOOKUP(LEFT($A11,4),'Cash Flow $s Yr1'!$B$12:$R$154,14,FALSE)),0)</f>
        <v>403.03200000000004</v>
      </c>
      <c r="R11" s="287">
        <f t="shared" si="1"/>
        <v>4798</v>
      </c>
    </row>
    <row r="12" spans="1:19" x14ac:dyDescent="0.15">
      <c r="A12" s="163" t="s">
        <v>907</v>
      </c>
      <c r="B12" s="162" t="s">
        <v>1242</v>
      </c>
      <c r="C12" s="160" t="s">
        <v>868</v>
      </c>
      <c r="D12" s="160" t="s">
        <v>869</v>
      </c>
      <c r="E12" s="160" t="s">
        <v>870</v>
      </c>
      <c r="F12" s="160">
        <f>IFERROR((VLOOKUP(LEFT($A12,4),'Cash Flow $s Yr1'!$B$12:$R$154,3,FALSE)),0)</f>
        <v>8609.5069999999996</v>
      </c>
      <c r="G12" s="160">
        <f>IFERROR((VLOOKUP(LEFT($A12,4),'Cash Flow $s Yr1'!$B$12:$R$154,4,FALSE)),0)</f>
        <v>8609.5069999999996</v>
      </c>
      <c r="H12" s="160">
        <f>IFERROR((VLOOKUP(LEFT($A12,4),'Cash Flow $s Yr1'!$B$12:$R$154,5,FALSE)),0)</f>
        <v>8609.5069999999996</v>
      </c>
      <c r="I12" s="160">
        <f>IFERROR((VLOOKUP(LEFT($A12,4),'Cash Flow $s Yr1'!$B$12:$R$154,6,FALSE)),0)</f>
        <v>8609.5069999999996</v>
      </c>
      <c r="J12" s="160">
        <f>IFERROR((VLOOKUP(LEFT($A12,4),'Cash Flow $s Yr1'!$B$12:$R$154,7,FALSE)),0)</f>
        <v>8609.5069999999996</v>
      </c>
      <c r="K12" s="160">
        <f>IFERROR((VLOOKUP(LEFT($A12,4),'Cash Flow $s Yr1'!$B$12:$R$154,8,FALSE)),0)</f>
        <v>8609.5069999999996</v>
      </c>
      <c r="L12" s="160">
        <f>IFERROR((VLOOKUP(LEFT($A12,4),'Cash Flow $s Yr1'!$B$12:$R$154,9,FALSE)),0)</f>
        <v>8609.5069999999996</v>
      </c>
      <c r="M12" s="160">
        <f>IFERROR((VLOOKUP(LEFT($A12,4),'Cash Flow $s Yr1'!$B$12:$R$154,10,FALSE)),0)</f>
        <v>8609.5069999999996</v>
      </c>
      <c r="N12" s="160">
        <f>IFERROR((VLOOKUP(LEFT($A12,4),'Cash Flow $s Yr1'!$B$12:$R$154,11,FALSE)),0)</f>
        <v>8713.2360000000008</v>
      </c>
      <c r="O12" s="160">
        <f>IFERROR((VLOOKUP(LEFT($A12,4),'Cash Flow $s Yr1'!$B$12:$R$154,12,FALSE)),0)</f>
        <v>8713.2360000000008</v>
      </c>
      <c r="P12" s="160">
        <f>IFERROR((VLOOKUP(LEFT($A12,4),'Cash Flow $s Yr1'!$B$12:$R$154,13,FALSE)),0)</f>
        <v>8713.2360000000008</v>
      </c>
      <c r="Q12" s="160">
        <f>IFERROR((VLOOKUP(LEFT($A12,4),'Cash Flow $s Yr1'!$B$12:$R$154,14,FALSE)),0)</f>
        <v>8713.2360000000008</v>
      </c>
      <c r="R12" s="287">
        <f t="shared" ref="R12:R32" si="2">SUM(F12:Q12)</f>
        <v>103729.00000000001</v>
      </c>
    </row>
    <row r="13" spans="1:19" x14ac:dyDescent="0.15">
      <c r="A13" s="163" t="s">
        <v>908</v>
      </c>
      <c r="B13" s="162" t="s">
        <v>1242</v>
      </c>
      <c r="C13" s="160" t="s">
        <v>868</v>
      </c>
      <c r="D13" s="160" t="s">
        <v>869</v>
      </c>
      <c r="E13" s="160" t="s">
        <v>870</v>
      </c>
      <c r="F13" s="160">
        <f>IFERROR((VLOOKUP(LEFT($A13,4),'Cash Flow $s Yr1'!$B$12:$R$154,3,FALSE)),0)</f>
        <v>309.09200000000004</v>
      </c>
      <c r="G13" s="160">
        <f>IFERROR((VLOOKUP(LEFT($A13,4),'Cash Flow $s Yr1'!$B$12:$R$154,4,FALSE)),0)</f>
        <v>309.09200000000004</v>
      </c>
      <c r="H13" s="160">
        <f>IFERROR((VLOOKUP(LEFT($A13,4),'Cash Flow $s Yr1'!$B$12:$R$154,5,FALSE)),0)</f>
        <v>309.09200000000004</v>
      </c>
      <c r="I13" s="160">
        <f>IFERROR((VLOOKUP(LEFT($A13,4),'Cash Flow $s Yr1'!$B$12:$R$154,6,FALSE)),0)</f>
        <v>309.09200000000004</v>
      </c>
      <c r="J13" s="160">
        <f>IFERROR((VLOOKUP(LEFT($A13,4),'Cash Flow $s Yr1'!$B$12:$R$154,7,FALSE)),0)</f>
        <v>309.09200000000004</v>
      </c>
      <c r="K13" s="160">
        <f>IFERROR((VLOOKUP(LEFT($A13,4),'Cash Flow $s Yr1'!$B$12:$R$154,8,FALSE)),0)</f>
        <v>309.09200000000004</v>
      </c>
      <c r="L13" s="160">
        <f>IFERROR((VLOOKUP(LEFT($A13,4),'Cash Flow $s Yr1'!$B$12:$R$154,9,FALSE)),0)</f>
        <v>309.09200000000004</v>
      </c>
      <c r="M13" s="160">
        <f>IFERROR((VLOOKUP(LEFT($A13,4),'Cash Flow $s Yr1'!$B$12:$R$154,10,FALSE)),0)</f>
        <v>309.09200000000004</v>
      </c>
      <c r="N13" s="160">
        <f>IFERROR((VLOOKUP(LEFT($A13,4),'Cash Flow $s Yr1'!$B$12:$R$154,11,FALSE)),0)</f>
        <v>312.81600000000003</v>
      </c>
      <c r="O13" s="160">
        <f>IFERROR((VLOOKUP(LEFT($A13,4),'Cash Flow $s Yr1'!$B$12:$R$154,12,FALSE)),0)</f>
        <v>312.81600000000003</v>
      </c>
      <c r="P13" s="160">
        <f>IFERROR((VLOOKUP(LEFT($A13,4),'Cash Flow $s Yr1'!$B$12:$R$154,13,FALSE)),0)</f>
        <v>312.81600000000003</v>
      </c>
      <c r="Q13" s="160">
        <f>IFERROR((VLOOKUP(LEFT($A13,4),'Cash Flow $s Yr1'!$B$12:$R$154,14,FALSE)),0)</f>
        <v>312.81600000000003</v>
      </c>
      <c r="R13" s="287">
        <f t="shared" si="2"/>
        <v>3724</v>
      </c>
    </row>
    <row r="14" spans="1:19" x14ac:dyDescent="0.15">
      <c r="A14" s="163" t="s">
        <v>909</v>
      </c>
      <c r="B14" s="162" t="s">
        <v>1242</v>
      </c>
      <c r="C14" s="160" t="s">
        <v>868</v>
      </c>
      <c r="D14" s="160" t="s">
        <v>869</v>
      </c>
      <c r="E14" s="160" t="s">
        <v>870</v>
      </c>
      <c r="F14" s="160">
        <f>IFERROR((VLOOKUP(LEFT($A14,4),'Cash Flow $s Yr1'!$B$12:$R$154,3,FALSE)),0)</f>
        <v>342.209</v>
      </c>
      <c r="G14" s="160">
        <f>IFERROR((VLOOKUP(LEFT($A14,4),'Cash Flow $s Yr1'!$B$12:$R$154,4,FALSE)),0)</f>
        <v>342.209</v>
      </c>
      <c r="H14" s="160">
        <f>IFERROR((VLOOKUP(LEFT($A14,4),'Cash Flow $s Yr1'!$B$12:$R$154,5,FALSE)),0)</f>
        <v>342.209</v>
      </c>
      <c r="I14" s="160">
        <f>IFERROR((VLOOKUP(LEFT($A14,4),'Cash Flow $s Yr1'!$B$12:$R$154,6,FALSE)),0)</f>
        <v>342.209</v>
      </c>
      <c r="J14" s="160">
        <f>IFERROR((VLOOKUP(LEFT($A14,4),'Cash Flow $s Yr1'!$B$12:$R$154,7,FALSE)),0)</f>
        <v>342.209</v>
      </c>
      <c r="K14" s="160">
        <f>IFERROR((VLOOKUP(LEFT($A14,4),'Cash Flow $s Yr1'!$B$12:$R$154,8,FALSE)),0)</f>
        <v>342.209</v>
      </c>
      <c r="L14" s="160">
        <f>IFERROR((VLOOKUP(LEFT($A14,4),'Cash Flow $s Yr1'!$B$12:$R$154,9,FALSE)),0)</f>
        <v>342.209</v>
      </c>
      <c r="M14" s="160">
        <f>IFERROR((VLOOKUP(LEFT($A14,4),'Cash Flow $s Yr1'!$B$12:$R$154,10,FALSE)),0)</f>
        <v>342.209</v>
      </c>
      <c r="N14" s="160">
        <f>IFERROR((VLOOKUP(LEFT($A14,4),'Cash Flow $s Yr1'!$B$12:$R$154,11,FALSE)),0)</f>
        <v>346.33199999999999</v>
      </c>
      <c r="O14" s="160">
        <f>IFERROR((VLOOKUP(LEFT($A14,4),'Cash Flow $s Yr1'!$B$12:$R$154,12,FALSE)),0)</f>
        <v>346.33199999999999</v>
      </c>
      <c r="P14" s="160">
        <f>IFERROR((VLOOKUP(LEFT($A14,4),'Cash Flow $s Yr1'!$B$12:$R$154,13,FALSE)),0)</f>
        <v>346.33199999999999</v>
      </c>
      <c r="Q14" s="160">
        <f>IFERROR((VLOOKUP(LEFT($A14,4),'Cash Flow $s Yr1'!$B$12:$R$154,14,FALSE)),0)</f>
        <v>346.33199999999999</v>
      </c>
      <c r="R14" s="287">
        <f t="shared" si="2"/>
        <v>4122.9999999999991</v>
      </c>
    </row>
    <row r="15" spans="1:19" x14ac:dyDescent="0.15">
      <c r="A15" s="163" t="s">
        <v>878</v>
      </c>
      <c r="B15" s="162" t="s">
        <v>1242</v>
      </c>
      <c r="C15" s="160" t="s">
        <v>868</v>
      </c>
      <c r="D15" s="160" t="s">
        <v>869</v>
      </c>
      <c r="E15" s="160" t="s">
        <v>870</v>
      </c>
      <c r="F15" s="160">
        <v>0</v>
      </c>
      <c r="G15" s="160">
        <v>0</v>
      </c>
      <c r="H15" s="160">
        <v>0</v>
      </c>
      <c r="I15" s="160">
        <v>0</v>
      </c>
      <c r="J15" s="160">
        <f>+'Cash Flow $s Yr1'!H91</f>
        <v>6726.25</v>
      </c>
      <c r="K15" s="160">
        <f>+'Cash Flow $s Yr1'!I91</f>
        <v>6726.25</v>
      </c>
      <c r="L15" s="160">
        <f>+'Cash Flow $s Yr1'!J91</f>
        <v>6726.25</v>
      </c>
      <c r="M15" s="160">
        <v>0</v>
      </c>
      <c r="N15" s="160">
        <f>+'Cash Flow $s Yr1'!L91</f>
        <v>6726.25</v>
      </c>
      <c r="O15" s="160">
        <v>0</v>
      </c>
      <c r="P15" s="160">
        <v>0</v>
      </c>
      <c r="Q15" s="160">
        <v>0</v>
      </c>
      <c r="R15" s="287">
        <f t="shared" si="2"/>
        <v>26905</v>
      </c>
    </row>
    <row r="16" spans="1:19" x14ac:dyDescent="0.15">
      <c r="A16" s="163" t="s">
        <v>879</v>
      </c>
      <c r="B16" s="162" t="s">
        <v>1242</v>
      </c>
      <c r="C16" s="160" t="s">
        <v>868</v>
      </c>
      <c r="D16" s="160" t="s">
        <v>869</v>
      </c>
      <c r="E16" s="160" t="s">
        <v>870</v>
      </c>
      <c r="F16" s="160">
        <v>0</v>
      </c>
      <c r="G16" s="160">
        <v>0</v>
      </c>
      <c r="H16" s="160">
        <v>0</v>
      </c>
      <c r="I16" s="160">
        <v>0</v>
      </c>
      <c r="J16" s="160">
        <f>IFERROR((VLOOKUP(LEFT($A16,4),'Cash Flow $s Yr1'!$B$12:$R$154,7,FALSE)),0)</f>
        <v>517.5</v>
      </c>
      <c r="K16" s="160">
        <f>IFERROR((VLOOKUP(LEFT($A16,4),'Cash Flow $s Yr1'!$B$12:$R$154,8,FALSE)),0)</f>
        <v>517.5</v>
      </c>
      <c r="L16" s="160">
        <f>IFERROR((VLOOKUP(LEFT($A16,4),'Cash Flow $s Yr1'!$B$12:$R$154,9,FALSE)),0)</f>
        <v>517.5</v>
      </c>
      <c r="M16" s="160">
        <v>0</v>
      </c>
      <c r="N16" s="160">
        <f>IFERROR((VLOOKUP(LEFT($A16,4),'Cash Flow $s Yr1'!$B$12:$R$154,11,FALSE)),0)</f>
        <v>517.5</v>
      </c>
      <c r="O16" s="160">
        <v>0</v>
      </c>
      <c r="P16" s="160">
        <v>0</v>
      </c>
      <c r="Q16" s="160">
        <v>0</v>
      </c>
      <c r="R16" s="287">
        <f t="shared" si="2"/>
        <v>2070</v>
      </c>
    </row>
    <row r="17" spans="1:18" x14ac:dyDescent="0.15">
      <c r="A17" s="163" t="s">
        <v>880</v>
      </c>
      <c r="B17" s="162" t="s">
        <v>1242</v>
      </c>
      <c r="C17" s="160" t="s">
        <v>868</v>
      </c>
      <c r="D17" s="160" t="s">
        <v>869</v>
      </c>
      <c r="E17" s="160" t="s">
        <v>870</v>
      </c>
      <c r="F17" s="160">
        <v>0</v>
      </c>
      <c r="G17" s="160">
        <v>0</v>
      </c>
      <c r="H17" s="160">
        <f>+'Cash Flow $s Yr1'!F93</f>
        <v>1616.1</v>
      </c>
      <c r="I17" s="160">
        <v>0</v>
      </c>
      <c r="J17" s="160">
        <f>+'Cash Flow $s Yr1'!H93</f>
        <v>1616.1</v>
      </c>
      <c r="K17" s="160" t="str">
        <f>+'Cash Flow $s Yr1'!I93</f>
        <v/>
      </c>
      <c r="L17" s="160">
        <f>+'Cash Flow $s Yr1'!J93</f>
        <v>1616.1</v>
      </c>
      <c r="M17" s="160">
        <v>0</v>
      </c>
      <c r="N17" s="160">
        <f>+'Cash Flow $s Yr1'!L93</f>
        <v>538.70000000000005</v>
      </c>
      <c r="O17" s="160">
        <v>0</v>
      </c>
      <c r="P17" s="160">
        <v>0</v>
      </c>
      <c r="Q17" s="160">
        <v>0</v>
      </c>
      <c r="R17" s="287">
        <f t="shared" si="2"/>
        <v>5386.9999999999991</v>
      </c>
    </row>
    <row r="18" spans="1:18" x14ac:dyDescent="0.15">
      <c r="A18" s="163" t="s">
        <v>881</v>
      </c>
      <c r="B18" s="162" t="s">
        <v>1242</v>
      </c>
      <c r="C18" s="160" t="s">
        <v>868</v>
      </c>
      <c r="D18" s="160" t="s">
        <v>869</v>
      </c>
      <c r="E18" s="160" t="s">
        <v>870</v>
      </c>
      <c r="F18" s="160">
        <v>0</v>
      </c>
      <c r="G18" s="160">
        <v>0</v>
      </c>
      <c r="H18" s="160">
        <f>IFERROR((VLOOKUP(LEFT($A18,4),'Cash Flow $s Yr1'!$B$12:$R$154,5,FALSE)),0)</f>
        <v>351.20000000000005</v>
      </c>
      <c r="I18" s="160">
        <f>IFERROR((VLOOKUP(LEFT($A18,4),'Cash Flow $s Yr1'!$B$12:$R$154,6,FALSE)),0)</f>
        <v>351.20000000000005</v>
      </c>
      <c r="J18" s="160">
        <f>IFERROR((VLOOKUP(LEFT($A18,4),'Cash Flow $s Yr1'!$B$12:$R$154,7,FALSE)),0)</f>
        <v>702.40000000000009</v>
      </c>
      <c r="K18" s="160">
        <f>IFERROR((VLOOKUP(LEFT($A18,4),'Cash Flow $s Yr1'!$B$12:$R$154,8,FALSE)),0)</f>
        <v>351.20000000000005</v>
      </c>
      <c r="L18" s="160">
        <f>IFERROR((VLOOKUP(LEFT($A18,4),'Cash Flow $s Yr1'!$B$12:$R$154,9,FALSE)),0)</f>
        <v>702.40000000000009</v>
      </c>
      <c r="M18" s="160">
        <f>IFERROR((VLOOKUP(LEFT($A18,4),'Cash Flow $s Yr1'!$B$12:$R$154,10,FALSE)),0)</f>
        <v>351.20000000000005</v>
      </c>
      <c r="N18" s="160">
        <f>IFERROR((VLOOKUP(LEFT($A18,4),'Cash Flow $s Yr1'!$B$12:$R$154,11,FALSE)),0)</f>
        <v>351.20000000000005</v>
      </c>
      <c r="O18" s="160">
        <f>IFERROR((VLOOKUP(LEFT($A18,4),'Cash Flow $s Yr1'!$B$12:$R$154,12,FALSE)),0)</f>
        <v>351.20000000000005</v>
      </c>
      <c r="P18" s="160">
        <v>0</v>
      </c>
      <c r="Q18" s="160">
        <v>0</v>
      </c>
      <c r="R18" s="287">
        <f t="shared" si="2"/>
        <v>3512</v>
      </c>
    </row>
    <row r="19" spans="1:18" x14ac:dyDescent="0.15">
      <c r="A19" s="163" t="s">
        <v>882</v>
      </c>
      <c r="B19" s="162" t="s">
        <v>1242</v>
      </c>
      <c r="C19" s="160" t="s">
        <v>868</v>
      </c>
      <c r="D19" s="160" t="s">
        <v>869</v>
      </c>
      <c r="E19" s="160" t="s">
        <v>870</v>
      </c>
      <c r="F19" s="160">
        <f>IFERROR((VLOOKUP(LEFT($A19,4),'Cash Flow $s Yr1'!$B$12:$R$154,3,FALSE)),0)</f>
        <v>323.36799999999999</v>
      </c>
      <c r="G19" s="160">
        <f>IFERROR((VLOOKUP(LEFT($A19,4),'Cash Flow $s Yr1'!$B$12:$R$154,4,FALSE)),0)</f>
        <v>323.36799999999999</v>
      </c>
      <c r="H19" s="160">
        <f>IFERROR((VLOOKUP(LEFT($A19,4),'Cash Flow $s Yr1'!$B$12:$R$154,5,FALSE)),0)</f>
        <v>323.36799999999999</v>
      </c>
      <c r="I19" s="160">
        <f>IFERROR((VLOOKUP(LEFT($A19,4),'Cash Flow $s Yr1'!$B$12:$R$154,6,FALSE)),0)</f>
        <v>323.36799999999999</v>
      </c>
      <c r="J19" s="160">
        <f>IFERROR((VLOOKUP(LEFT($A19,4),'Cash Flow $s Yr1'!$B$12:$R$154,7,FALSE)),0)</f>
        <v>323.36799999999999</v>
      </c>
      <c r="K19" s="160">
        <f>IFERROR((VLOOKUP(LEFT($A19,4),'Cash Flow $s Yr1'!$B$12:$R$154,8,FALSE)),0)</f>
        <v>323.36799999999999</v>
      </c>
      <c r="L19" s="160">
        <f>IFERROR((VLOOKUP(LEFT($A19,4),'Cash Flow $s Yr1'!$B$12:$R$154,9,FALSE)),0)</f>
        <v>323.36799999999999</v>
      </c>
      <c r="M19" s="160">
        <f>IFERROR((VLOOKUP(LEFT($A19,4),'Cash Flow $s Yr1'!$B$12:$R$154,10,FALSE)),0)</f>
        <v>323.36799999999999</v>
      </c>
      <c r="N19" s="160">
        <f>IFERROR((VLOOKUP(LEFT($A19,4),'Cash Flow $s Yr1'!$B$12:$R$154,11,FALSE)),0)</f>
        <v>327.26400000000001</v>
      </c>
      <c r="O19" s="160">
        <f>IFERROR((VLOOKUP(LEFT($A19,4),'Cash Flow $s Yr1'!$B$12:$R$154,12,FALSE)),0)</f>
        <v>327.26400000000001</v>
      </c>
      <c r="P19" s="160">
        <f>IFERROR((VLOOKUP(LEFT($A19,4),'Cash Flow $s Yr1'!$B$12:$R$154,13,FALSE)),0)</f>
        <v>327.26400000000001</v>
      </c>
      <c r="Q19" s="160">
        <f>IFERROR((VLOOKUP(LEFT($A19,4),'Cash Flow $s Yr1'!$B$12:$R$154,14,FALSE)),0)</f>
        <v>327.26400000000001</v>
      </c>
      <c r="R19" s="287">
        <f t="shared" si="2"/>
        <v>3896.0000000000005</v>
      </c>
    </row>
    <row r="20" spans="1:18" x14ac:dyDescent="0.15">
      <c r="A20" s="163" t="s">
        <v>883</v>
      </c>
      <c r="B20" s="162" t="s">
        <v>1242</v>
      </c>
      <c r="C20" s="160" t="s">
        <v>868</v>
      </c>
      <c r="D20" s="160" t="s">
        <v>869</v>
      </c>
      <c r="E20" s="160" t="s">
        <v>870</v>
      </c>
      <c r="F20" s="160">
        <v>0</v>
      </c>
      <c r="G20" s="160">
        <v>0</v>
      </c>
      <c r="H20" s="160">
        <f>+'Cash Flow $s Yr1'!F96</f>
        <v>2406.6</v>
      </c>
      <c r="I20" s="160">
        <v>0</v>
      </c>
      <c r="J20" s="160">
        <v>0</v>
      </c>
      <c r="K20" s="160">
        <v>0</v>
      </c>
      <c r="L20" s="160">
        <f>+'Cash Flow $s Yr1'!J96</f>
        <v>1604.4</v>
      </c>
      <c r="M20" s="160">
        <v>0</v>
      </c>
      <c r="N20" s="160">
        <v>0</v>
      </c>
      <c r="O20" s="160">
        <v>0</v>
      </c>
      <c r="P20" s="160">
        <v>0</v>
      </c>
      <c r="Q20" s="160">
        <v>0</v>
      </c>
      <c r="R20" s="287">
        <f t="shared" si="2"/>
        <v>4011</v>
      </c>
    </row>
    <row r="21" spans="1:18" x14ac:dyDescent="0.15">
      <c r="A21" s="163" t="s">
        <v>884</v>
      </c>
      <c r="B21" s="162" t="s">
        <v>1242</v>
      </c>
      <c r="C21" s="160" t="s">
        <v>868</v>
      </c>
      <c r="D21" s="160" t="s">
        <v>869</v>
      </c>
      <c r="E21" s="160" t="s">
        <v>870</v>
      </c>
      <c r="F21" s="160">
        <v>0</v>
      </c>
      <c r="G21" s="160">
        <v>0</v>
      </c>
      <c r="H21" s="160">
        <f>IFERROR((VLOOKUP(LEFT($A21,4),'Cash Flow $s Yr1'!$B$12:$R$154,5,FALSE)),0)</f>
        <v>1485.8999999999999</v>
      </c>
      <c r="I21" s="160">
        <f>IFERROR((VLOOKUP(LEFT($A21,4),'Cash Flow $s Yr1'!$B$12:$R$154,6,FALSE)),0)</f>
        <v>495.3</v>
      </c>
      <c r="J21" s="160">
        <f>IFERROR((VLOOKUP(LEFT($A21,4),'Cash Flow $s Yr1'!$B$12:$R$154,7,FALSE)),0)</f>
        <v>495.3</v>
      </c>
      <c r="K21" s="160">
        <f>IFERROR((VLOOKUP(LEFT($A21,4),'Cash Flow $s Yr1'!$B$12:$R$154,8,FALSE)),0)</f>
        <v>495.3</v>
      </c>
      <c r="L21" s="160">
        <f>IFERROR((VLOOKUP(LEFT($A21,4),'Cash Flow $s Yr1'!$B$12:$R$154,9,FALSE)),0)</f>
        <v>495.3</v>
      </c>
      <c r="M21" s="160">
        <f>IFERROR((VLOOKUP(LEFT($A21,4),'Cash Flow $s Yr1'!$B$12:$R$154,10,FALSE)),0)</f>
        <v>495.3</v>
      </c>
      <c r="N21" s="160">
        <f>IFERROR((VLOOKUP(LEFT($A21,4),'Cash Flow $s Yr1'!$B$12:$R$154,11,FALSE)),0)</f>
        <v>495.3</v>
      </c>
      <c r="O21" s="160">
        <f>IFERROR((VLOOKUP(LEFT($A21,4),'Cash Flow $s Yr1'!$B$12:$R$154,12,FALSE)),0)</f>
        <v>495.3</v>
      </c>
      <c r="P21" s="160">
        <v>0</v>
      </c>
      <c r="Q21" s="160">
        <v>0</v>
      </c>
      <c r="R21" s="287">
        <f t="shared" si="2"/>
        <v>4953.0000000000009</v>
      </c>
    </row>
    <row r="22" spans="1:18" x14ac:dyDescent="0.15">
      <c r="A22" s="163" t="s">
        <v>885</v>
      </c>
      <c r="B22" s="162" t="s">
        <v>1242</v>
      </c>
      <c r="C22" s="160" t="s">
        <v>868</v>
      </c>
      <c r="D22" s="160" t="s">
        <v>869</v>
      </c>
      <c r="E22" s="160" t="s">
        <v>870</v>
      </c>
      <c r="F22" s="160">
        <f>+'Cash Flow $s Yr1'!D112</f>
        <v>0</v>
      </c>
      <c r="G22" s="160">
        <f>+'Cash Flow $s Yr1'!E112</f>
        <v>0</v>
      </c>
      <c r="H22" s="160">
        <f>+'Cash Flow $s Yr1'!F112</f>
        <v>1166.4000000000001</v>
      </c>
      <c r="I22" s="160">
        <f>+'Cash Flow $s Yr1'!G112</f>
        <v>0</v>
      </c>
      <c r="J22" s="160">
        <f>+'Cash Flow $s Yr1'!H112</f>
        <v>0</v>
      </c>
      <c r="K22" s="160">
        <f>+'Cash Flow $s Yr1'!I112</f>
        <v>0</v>
      </c>
      <c r="L22" s="160">
        <f>+'Cash Flow $s Yr1'!J112</f>
        <v>0</v>
      </c>
      <c r="M22" s="160">
        <f>+'Cash Flow $s Yr1'!K112</f>
        <v>0</v>
      </c>
      <c r="N22" s="160">
        <f>+'Cash Flow $s Yr1'!L112</f>
        <v>129.6</v>
      </c>
      <c r="O22" s="160">
        <f>+'Cash Flow $s Yr1'!M112</f>
        <v>0</v>
      </c>
      <c r="P22" s="160">
        <f>+'Cash Flow $s Yr1'!N112</f>
        <v>0</v>
      </c>
      <c r="Q22" s="160">
        <f>+'Cash Flow $s Yr1'!O112</f>
        <v>0</v>
      </c>
      <c r="R22" s="287">
        <f t="shared" si="2"/>
        <v>1296</v>
      </c>
    </row>
    <row r="23" spans="1:18" x14ac:dyDescent="0.15">
      <c r="A23" s="163" t="s">
        <v>886</v>
      </c>
      <c r="B23" s="162" t="s">
        <v>1242</v>
      </c>
      <c r="C23" s="160" t="s">
        <v>868</v>
      </c>
      <c r="D23" s="160" t="s">
        <v>869</v>
      </c>
      <c r="E23" s="160" t="s">
        <v>870</v>
      </c>
      <c r="F23" s="160">
        <v>0</v>
      </c>
      <c r="G23" s="160">
        <v>0</v>
      </c>
      <c r="H23" s="160">
        <f>IFERROR((VLOOKUP(LEFT($A23,4),'Cash Flow $s Yr1'!$B$12:$R$154,5,FALSE)),0)</f>
        <v>2283.6</v>
      </c>
      <c r="I23" s="160">
        <f>IFERROR((VLOOKUP(LEFT($A23,4),'Cash Flow $s Yr1'!$B$12:$R$154,6,FALSE)),0)</f>
        <v>761.2</v>
      </c>
      <c r="J23" s="160">
        <f>IFERROR((VLOOKUP(LEFT($A23,4),'Cash Flow $s Yr1'!$B$12:$R$154,7,FALSE)),0)</f>
        <v>761.2</v>
      </c>
      <c r="K23" s="160">
        <f>IFERROR((VLOOKUP(LEFT($A23,4),'Cash Flow $s Yr1'!$B$12:$R$154,8,FALSE)),0)</f>
        <v>761.2</v>
      </c>
      <c r="L23" s="160">
        <f>IFERROR((VLOOKUP(LEFT($A23,4),'Cash Flow $s Yr1'!$B$12:$R$154,9,FALSE)),0)</f>
        <v>761.2</v>
      </c>
      <c r="M23" s="160">
        <f>IFERROR((VLOOKUP(LEFT($A23,4),'Cash Flow $s Yr1'!$B$12:$R$154,10,FALSE)),0)</f>
        <v>761.2</v>
      </c>
      <c r="N23" s="160">
        <f>IFERROR((VLOOKUP(LEFT($A23,4),'Cash Flow $s Yr1'!$B$12:$R$154,11,FALSE)),0)</f>
        <v>761.2</v>
      </c>
      <c r="O23" s="160">
        <f>IFERROR((VLOOKUP(LEFT($A23,4),'Cash Flow $s Yr1'!$B$12:$R$154,12,FALSE)),0)</f>
        <v>761.2</v>
      </c>
      <c r="P23" s="160">
        <v>0</v>
      </c>
      <c r="Q23" s="160">
        <v>0</v>
      </c>
      <c r="R23" s="287">
        <f t="shared" si="2"/>
        <v>7611.9999999999991</v>
      </c>
    </row>
    <row r="24" spans="1:18" x14ac:dyDescent="0.15">
      <c r="A24" s="163" t="s">
        <v>887</v>
      </c>
      <c r="B24" s="162" t="s">
        <v>1242</v>
      </c>
      <c r="C24" s="160" t="s">
        <v>868</v>
      </c>
      <c r="D24" s="160" t="s">
        <v>869</v>
      </c>
      <c r="E24" s="160" t="s">
        <v>870</v>
      </c>
      <c r="F24" s="160">
        <v>0</v>
      </c>
      <c r="G24" s="160">
        <v>0</v>
      </c>
      <c r="H24" s="160">
        <f>IFERROR((VLOOKUP(LEFT($A24,4),'Cash Flow $s Yr1'!$B$12:$R$154,5,FALSE)),0)</f>
        <v>4462.8</v>
      </c>
      <c r="I24" s="160">
        <f>IFERROR((VLOOKUP(LEFT($A24,4),'Cash Flow $s Yr1'!$B$12:$R$154,6,FALSE)),0)</f>
        <v>1487.6000000000001</v>
      </c>
      <c r="J24" s="160">
        <f>IFERROR((VLOOKUP(LEFT($A24,4),'Cash Flow $s Yr1'!$B$12:$R$154,7,FALSE)),0)</f>
        <v>1487.6000000000001</v>
      </c>
      <c r="K24" s="160">
        <f>IFERROR((VLOOKUP(LEFT($A24,4),'Cash Flow $s Yr1'!$B$12:$R$154,8,FALSE)),0)</f>
        <v>1487.6000000000001</v>
      </c>
      <c r="L24" s="160">
        <f>IFERROR((VLOOKUP(LEFT($A24,4),'Cash Flow $s Yr1'!$B$12:$R$154,9,FALSE)),0)</f>
        <v>1487.6000000000001</v>
      </c>
      <c r="M24" s="160">
        <f>IFERROR((VLOOKUP(LEFT($A24,4),'Cash Flow $s Yr1'!$B$12:$R$154,10,FALSE)),0)</f>
        <v>1487.6000000000001</v>
      </c>
      <c r="N24" s="160">
        <f>IFERROR((VLOOKUP(LEFT($A24,4),'Cash Flow $s Yr1'!$B$12:$R$154,11,FALSE)),0)</f>
        <v>1487.6000000000001</v>
      </c>
      <c r="O24" s="160">
        <f>IFERROR((VLOOKUP(LEFT($A24,4),'Cash Flow $s Yr1'!$B$12:$R$154,12,FALSE)),0)</f>
        <v>1487.6000000000001</v>
      </c>
      <c r="P24" s="160">
        <v>0</v>
      </c>
      <c r="Q24" s="160">
        <v>0</v>
      </c>
      <c r="R24" s="287">
        <f t="shared" si="2"/>
        <v>14876.000000000002</v>
      </c>
    </row>
    <row r="25" spans="1:18" x14ac:dyDescent="0.15">
      <c r="A25" s="163" t="s">
        <v>888</v>
      </c>
      <c r="B25" s="162" t="s">
        <v>1242</v>
      </c>
      <c r="C25" s="160" t="s">
        <v>868</v>
      </c>
      <c r="D25" s="160" t="s">
        <v>869</v>
      </c>
      <c r="E25" s="160" t="s">
        <v>870</v>
      </c>
      <c r="F25" s="160">
        <f>+'Cash Flow $s Yr1'!D116</f>
        <v>693.29900000000009</v>
      </c>
      <c r="G25" s="160">
        <f>+'Cash Flow $s Yr1'!E116</f>
        <v>693.29900000000009</v>
      </c>
      <c r="H25" s="160">
        <f>+'Cash Flow $s Yr1'!F116</f>
        <v>693.29900000000009</v>
      </c>
      <c r="I25" s="160">
        <f>+'Cash Flow $s Yr1'!G116</f>
        <v>693.29900000000009</v>
      </c>
      <c r="J25" s="160">
        <f>+'Cash Flow $s Yr1'!H116</f>
        <v>693.29900000000009</v>
      </c>
      <c r="K25" s="160">
        <f>+'Cash Flow $s Yr1'!I116</f>
        <v>693.29900000000009</v>
      </c>
      <c r="L25" s="160">
        <f>+'Cash Flow $s Yr1'!J116</f>
        <v>693.29900000000009</v>
      </c>
      <c r="M25" s="160">
        <f>+'Cash Flow $s Yr1'!K116</f>
        <v>693.29900000000009</v>
      </c>
      <c r="N25" s="160">
        <f>+'Cash Flow $s Yr1'!L116</f>
        <v>701.65200000000004</v>
      </c>
      <c r="O25" s="160">
        <f>+'Cash Flow $s Yr1'!M116</f>
        <v>701.65200000000004</v>
      </c>
      <c r="P25" s="160">
        <f>+'Cash Flow $s Yr1'!N116</f>
        <v>701.65200000000004</v>
      </c>
      <c r="Q25" s="160">
        <f>+'Cash Flow $s Yr1'!O116</f>
        <v>701.65200000000004</v>
      </c>
      <c r="R25" s="287">
        <f t="shared" si="2"/>
        <v>8353</v>
      </c>
    </row>
    <row r="26" spans="1:18" x14ac:dyDescent="0.15">
      <c r="A26" s="163" t="s">
        <v>889</v>
      </c>
      <c r="B26" s="162" t="s">
        <v>1242</v>
      </c>
      <c r="C26" s="160" t="s">
        <v>868</v>
      </c>
      <c r="D26" s="160" t="s">
        <v>869</v>
      </c>
      <c r="E26" s="160" t="s">
        <v>870</v>
      </c>
      <c r="F26" s="160">
        <f>+'Cash Flow $s Yr1'!D118</f>
        <v>0</v>
      </c>
      <c r="G26" s="160">
        <f>+'Cash Flow $s Yr1'!E118</f>
        <v>0</v>
      </c>
      <c r="H26" s="160">
        <f>+'Cash Flow $s Yr1'!F118</f>
        <v>0</v>
      </c>
      <c r="I26" s="160">
        <f>+'Cash Flow $s Yr1'!G118</f>
        <v>0</v>
      </c>
      <c r="J26" s="160">
        <f>+'Cash Flow $s Yr1'!H118</f>
        <v>0</v>
      </c>
      <c r="K26" s="160">
        <f>+'Cash Flow $s Yr1'!I118</f>
        <v>0</v>
      </c>
      <c r="L26" s="160">
        <f>+'Cash Flow $s Yr1'!J118</f>
        <v>0</v>
      </c>
      <c r="M26" s="160">
        <f>+'Cash Flow $s Yr1'!K118</f>
        <v>0</v>
      </c>
      <c r="N26" s="160">
        <f>+'Cash Flow $s Yr1'!L118</f>
        <v>0</v>
      </c>
      <c r="O26" s="160">
        <f>+'Cash Flow $s Yr1'!M118</f>
        <v>0</v>
      </c>
      <c r="P26" s="160">
        <f>+'Cash Flow $s Yr1'!N118</f>
        <v>0</v>
      </c>
      <c r="Q26" s="160">
        <f>+'Cash Flow $s Yr1'!O118</f>
        <v>0</v>
      </c>
      <c r="R26" s="287">
        <f t="shared" si="2"/>
        <v>0</v>
      </c>
    </row>
    <row r="27" spans="1:18" x14ac:dyDescent="0.15">
      <c r="A27" s="163" t="s">
        <v>890</v>
      </c>
      <c r="B27" s="162" t="s">
        <v>1242</v>
      </c>
      <c r="C27" s="160" t="s">
        <v>868</v>
      </c>
      <c r="D27" s="160" t="s">
        <v>869</v>
      </c>
      <c r="E27" s="160" t="s">
        <v>870</v>
      </c>
      <c r="F27" s="160">
        <f>+'Cash Flow $s Yr1'!D119</f>
        <v>2553</v>
      </c>
      <c r="G27" s="160">
        <f>+'Cash Flow $s Yr1'!E119</f>
        <v>2553</v>
      </c>
      <c r="H27" s="160">
        <f>+'Cash Flow $s Yr1'!F119</f>
        <v>4595.3999999999996</v>
      </c>
      <c r="I27" s="160">
        <f>+'Cash Flow $s Yr1'!G119</f>
        <v>4595.3999999999996</v>
      </c>
      <c r="J27" s="160">
        <f>+'Cash Flow $s Yr1'!H119</f>
        <v>4595.3999999999996</v>
      </c>
      <c r="K27" s="160">
        <f>+'Cash Flow $s Yr1'!I119</f>
        <v>4595.3999999999996</v>
      </c>
      <c r="L27" s="160">
        <f>+'Cash Flow $s Yr1'!J119</f>
        <v>4595.3999999999996</v>
      </c>
      <c r="M27" s="160">
        <f>+'Cash Flow $s Yr1'!K119</f>
        <v>4595.3999999999996</v>
      </c>
      <c r="N27" s="160">
        <f>+'Cash Flow $s Yr1'!L119</f>
        <v>4595.3999999999996</v>
      </c>
      <c r="O27" s="160">
        <f>+'Cash Flow $s Yr1'!M119</f>
        <v>4595.3999999999996</v>
      </c>
      <c r="P27" s="160">
        <f>+'Cash Flow $s Yr1'!N119</f>
        <v>4595.3999999999996</v>
      </c>
      <c r="Q27" s="160">
        <f>+'Cash Flow $s Yr1'!O119</f>
        <v>4595.3999999999996</v>
      </c>
      <c r="R27" s="287">
        <f t="shared" si="2"/>
        <v>51060.000000000007</v>
      </c>
    </row>
    <row r="28" spans="1:18" x14ac:dyDescent="0.15">
      <c r="A28" s="163" t="s">
        <v>891</v>
      </c>
      <c r="B28" s="162" t="s">
        <v>1242</v>
      </c>
      <c r="C28" s="160" t="s">
        <v>868</v>
      </c>
      <c r="D28" s="160" t="s">
        <v>869</v>
      </c>
      <c r="E28" s="160" t="s">
        <v>870</v>
      </c>
      <c r="F28" s="160">
        <f>IFERROR((VLOOKUP(LEFT($A28,4),'Cash Flow $s Yr1'!$B$12:$R$154,4,FALSE)),0)</f>
        <v>66.317000000000007</v>
      </c>
      <c r="G28" s="160">
        <f>IFERROR((VLOOKUP(LEFT($A28,4),'Cash Flow $s Yr1'!$B$12:$R$154,4,FALSE)),0)</f>
        <v>66.317000000000007</v>
      </c>
      <c r="H28" s="160">
        <f>IFERROR((VLOOKUP(LEFT($A28,4),'Cash Flow $s Yr1'!$B$12:$R$154,5,FALSE)),0)</f>
        <v>66.317000000000007</v>
      </c>
      <c r="I28" s="160">
        <f>IFERROR((VLOOKUP(LEFT($A28,4),'Cash Flow $s Yr1'!$B$12:$R$154,6,FALSE)),0)</f>
        <v>66.317000000000007</v>
      </c>
      <c r="J28" s="160">
        <f>IFERROR((VLOOKUP(LEFT($A28,4),'Cash Flow $s Yr1'!$B$12:$R$154,7,FALSE)),0)</f>
        <v>66.317000000000007</v>
      </c>
      <c r="K28" s="160">
        <f>IFERROR((VLOOKUP(LEFT($A28,4),'Cash Flow $s Yr1'!$B$12:$R$154,8,FALSE)),0)</f>
        <v>66.317000000000007</v>
      </c>
      <c r="L28" s="160">
        <f>IFERROR((VLOOKUP(LEFT($A28,4),'Cash Flow $s Yr1'!$B$12:$R$154,9,FALSE)),0)</f>
        <v>66.317000000000007</v>
      </c>
      <c r="M28" s="160">
        <f>IFERROR((VLOOKUP(LEFT($A28,4),'Cash Flow $s Yr1'!$B$12:$R$154,10,FALSE)),0)</f>
        <v>66.317000000000007</v>
      </c>
      <c r="N28" s="160">
        <f>IFERROR((VLOOKUP(LEFT($A28,4),'Cash Flow $s Yr1'!$B$12:$R$154,11,FALSE)),0)</f>
        <v>67.116</v>
      </c>
      <c r="O28" s="160">
        <f>IFERROR((VLOOKUP(LEFT($A28,4),'Cash Flow $s Yr1'!$B$12:$R$154,12,FALSE)),0)</f>
        <v>67.116</v>
      </c>
      <c r="P28" s="160">
        <f>IFERROR((VLOOKUP(LEFT($A28,4),'Cash Flow $s Yr1'!$B$12:$R$154,13,FALSE)),0)</f>
        <v>67.116</v>
      </c>
      <c r="Q28" s="160">
        <f>IFERROR((VLOOKUP(LEFT($A28,4),'Cash Flow $s Yr1'!$B$12:$R$154,14,FALSE)),0)</f>
        <v>67.116</v>
      </c>
      <c r="R28" s="287">
        <f t="shared" si="2"/>
        <v>799</v>
      </c>
    </row>
    <row r="29" spans="1:18" x14ac:dyDescent="0.15">
      <c r="A29" s="163" t="s">
        <v>1202</v>
      </c>
      <c r="B29" s="162" t="s">
        <v>1242</v>
      </c>
      <c r="C29" s="160" t="s">
        <v>868</v>
      </c>
      <c r="D29" s="160" t="s">
        <v>869</v>
      </c>
      <c r="E29" s="160" t="s">
        <v>870</v>
      </c>
      <c r="F29" s="160">
        <f>IFERROR((VLOOKUP(LEFT($A29,4),'Cash Flow $s Yr1'!$B$12:$R$154,4,FALSE)),0)</f>
        <v>92.960000000000008</v>
      </c>
      <c r="G29" s="160">
        <f>IFERROR((VLOOKUP(LEFT($A29,4),'Cash Flow $s Yr1'!$B$12:$R$154,4,FALSE)),0)</f>
        <v>92.960000000000008</v>
      </c>
      <c r="H29" s="160">
        <f>IFERROR((VLOOKUP(LEFT($A29,4),'Cash Flow $s Yr1'!$B$12:$R$154,5,FALSE)),0)</f>
        <v>92.960000000000008</v>
      </c>
      <c r="I29" s="160">
        <f>IFERROR((VLOOKUP(LEFT($A29,4),'Cash Flow $s Yr1'!$B$12:$R$154,6,FALSE)),0)</f>
        <v>92.960000000000008</v>
      </c>
      <c r="J29" s="160">
        <f>IFERROR((VLOOKUP(LEFT($A29,4),'Cash Flow $s Yr1'!$B$12:$R$154,7,FALSE)),0)</f>
        <v>92.960000000000008</v>
      </c>
      <c r="K29" s="160">
        <f>IFERROR((VLOOKUP(LEFT($A29,4),'Cash Flow $s Yr1'!$B$12:$R$154,8,FALSE)),0)</f>
        <v>92.960000000000008</v>
      </c>
      <c r="L29" s="160">
        <f>IFERROR((VLOOKUP(LEFT($A29,4),'Cash Flow $s Yr1'!$B$12:$R$154,9,FALSE)),0)</f>
        <v>92.960000000000008</v>
      </c>
      <c r="M29" s="160">
        <f>IFERROR((VLOOKUP(LEFT($A29,4),'Cash Flow $s Yr1'!$B$12:$R$154,10,FALSE)),0)</f>
        <v>92.960000000000008</v>
      </c>
      <c r="N29" s="160">
        <f>IFERROR((VLOOKUP(LEFT($A29,4),'Cash Flow $s Yr1'!$B$12:$R$154,11,FALSE)),0)</f>
        <v>94.080000000000013</v>
      </c>
      <c r="O29" s="160">
        <f>IFERROR((VLOOKUP(LEFT($A29,4),'Cash Flow $s Yr1'!$B$12:$R$154,12,FALSE)),0)</f>
        <v>94.080000000000013</v>
      </c>
      <c r="P29" s="160">
        <f>IFERROR((VLOOKUP(LEFT($A29,4),'Cash Flow $s Yr1'!$B$12:$R$154,13,FALSE)),0)</f>
        <v>94.080000000000013</v>
      </c>
      <c r="Q29" s="160">
        <f>IFERROR((VLOOKUP(LEFT($A29,4),'Cash Flow $s Yr1'!$B$12:$R$154,14,FALSE)),0)</f>
        <v>94.080000000000013</v>
      </c>
      <c r="R29" s="287">
        <f t="shared" si="2"/>
        <v>1120.0000000000002</v>
      </c>
    </row>
    <row r="30" spans="1:18" x14ac:dyDescent="0.15">
      <c r="A30" s="163" t="s">
        <v>892</v>
      </c>
      <c r="B30" s="162" t="s">
        <v>1242</v>
      </c>
      <c r="C30" s="160" t="s">
        <v>868</v>
      </c>
      <c r="D30" s="160" t="s">
        <v>869</v>
      </c>
      <c r="E30" s="160" t="s">
        <v>870</v>
      </c>
      <c r="F30" s="160">
        <f>+'Cash Flow $s Yr1'!D122</f>
        <v>0</v>
      </c>
      <c r="G30" s="160">
        <f>+'Cash Flow $s Yr1'!E122</f>
        <v>0</v>
      </c>
      <c r="H30" s="160">
        <f>+'Cash Flow $s Yr1'!F122</f>
        <v>135.80000000000001</v>
      </c>
      <c r="I30" s="160">
        <f>+'Cash Flow $s Yr1'!G122</f>
        <v>135.80000000000001</v>
      </c>
      <c r="J30" s="160">
        <f>+'Cash Flow $s Yr1'!H122</f>
        <v>135.80000000000001</v>
      </c>
      <c r="K30" s="160">
        <f>+'Cash Flow $s Yr1'!I122</f>
        <v>135.80000000000001</v>
      </c>
      <c r="L30" s="160">
        <f>+'Cash Flow $s Yr1'!J122</f>
        <v>135.80000000000001</v>
      </c>
      <c r="M30" s="160">
        <f>+'Cash Flow $s Yr1'!K122</f>
        <v>135.80000000000001</v>
      </c>
      <c r="N30" s="160">
        <f>+'Cash Flow $s Yr1'!L122</f>
        <v>135.80000000000001</v>
      </c>
      <c r="O30" s="160">
        <f>+'Cash Flow $s Yr1'!M122</f>
        <v>135.80000000000001</v>
      </c>
      <c r="P30" s="160">
        <f>+'Cash Flow $s Yr1'!N122</f>
        <v>135.80000000000001</v>
      </c>
      <c r="Q30" s="160">
        <f>+'Cash Flow $s Yr1'!O122</f>
        <v>135.80000000000001</v>
      </c>
      <c r="R30" s="287">
        <f t="shared" si="2"/>
        <v>1357.9999999999998</v>
      </c>
    </row>
    <row r="31" spans="1:18" x14ac:dyDescent="0.15">
      <c r="A31" s="163" t="s">
        <v>893</v>
      </c>
      <c r="B31" s="162" t="s">
        <v>1242</v>
      </c>
      <c r="C31" s="160" t="s">
        <v>868</v>
      </c>
      <c r="D31" s="160" t="s">
        <v>869</v>
      </c>
      <c r="E31" s="160" t="s">
        <v>870</v>
      </c>
      <c r="F31" s="160">
        <f>+'Cash Flow $s Yr1'!D123</f>
        <v>59.096000000000004</v>
      </c>
      <c r="G31" s="160">
        <f>+'Cash Flow $s Yr1'!E123</f>
        <v>59.096000000000004</v>
      </c>
      <c r="H31" s="160">
        <f>+'Cash Flow $s Yr1'!F123</f>
        <v>59.096000000000004</v>
      </c>
      <c r="I31" s="160">
        <f>+'Cash Flow $s Yr1'!G123</f>
        <v>59.096000000000004</v>
      </c>
      <c r="J31" s="160">
        <f>+'Cash Flow $s Yr1'!H123</f>
        <v>59.096000000000004</v>
      </c>
      <c r="K31" s="160">
        <f>+'Cash Flow $s Yr1'!I123</f>
        <v>59.096000000000004</v>
      </c>
      <c r="L31" s="160">
        <f>+'Cash Flow $s Yr1'!J123</f>
        <v>59.096000000000004</v>
      </c>
      <c r="M31" s="160">
        <f>+'Cash Flow $s Yr1'!K123</f>
        <v>59.096000000000004</v>
      </c>
      <c r="N31" s="160">
        <f>+'Cash Flow $s Yr1'!L123</f>
        <v>59.808000000000007</v>
      </c>
      <c r="O31" s="160">
        <f>+'Cash Flow $s Yr1'!M123</f>
        <v>59.808000000000007</v>
      </c>
      <c r="P31" s="160">
        <f>+'Cash Flow $s Yr1'!N123</f>
        <v>59.808000000000007</v>
      </c>
      <c r="Q31" s="160">
        <f>+'Cash Flow $s Yr1'!O123</f>
        <v>59.808000000000007</v>
      </c>
      <c r="R31" s="287">
        <f t="shared" si="2"/>
        <v>712</v>
      </c>
    </row>
    <row r="32" spans="1:18" x14ac:dyDescent="0.15">
      <c r="A32" s="163" t="s">
        <v>894</v>
      </c>
      <c r="B32" s="162" t="s">
        <v>1242</v>
      </c>
      <c r="C32" s="160" t="s">
        <v>868</v>
      </c>
      <c r="D32" s="160" t="s">
        <v>869</v>
      </c>
      <c r="E32" s="160" t="s">
        <v>870</v>
      </c>
      <c r="F32" s="160">
        <f>+'Cash Flow $s Yr1'!D124</f>
        <v>2351.5</v>
      </c>
      <c r="G32" s="160">
        <f>+'Cash Flow $s Yr1'!E124</f>
        <v>2351.5</v>
      </c>
      <c r="H32" s="160">
        <f>+'Cash Flow $s Yr1'!F124</f>
        <v>4232.7</v>
      </c>
      <c r="I32" s="160">
        <f>+'Cash Flow $s Yr1'!G124</f>
        <v>4232.7</v>
      </c>
      <c r="J32" s="160">
        <f>+'Cash Flow $s Yr1'!H124</f>
        <v>4232.7</v>
      </c>
      <c r="K32" s="160">
        <f>+'Cash Flow $s Yr1'!I124</f>
        <v>4232.7</v>
      </c>
      <c r="L32" s="160">
        <f>+'Cash Flow $s Yr1'!J124</f>
        <v>4232.7</v>
      </c>
      <c r="M32" s="160">
        <f>+'Cash Flow $s Yr1'!K124</f>
        <v>4232.7</v>
      </c>
      <c r="N32" s="160">
        <f>+'Cash Flow $s Yr1'!L124</f>
        <v>4232.7</v>
      </c>
      <c r="O32" s="160">
        <f>+'Cash Flow $s Yr1'!M124</f>
        <v>4232.7</v>
      </c>
      <c r="P32" s="160">
        <f>+'Cash Flow $s Yr1'!N124</f>
        <v>4232.7</v>
      </c>
      <c r="Q32" s="160">
        <f>+'Cash Flow $s Yr1'!O124</f>
        <v>4232.7</v>
      </c>
      <c r="R32" s="287">
        <f t="shared" si="2"/>
        <v>47029.999999999993</v>
      </c>
    </row>
    <row r="33" spans="1:19" x14ac:dyDescent="0.15">
      <c r="A33" s="163" t="s">
        <v>895</v>
      </c>
      <c r="B33" s="162" t="s">
        <v>1242</v>
      </c>
      <c r="C33" s="160" t="s">
        <v>868</v>
      </c>
      <c r="D33" s="160" t="s">
        <v>869</v>
      </c>
      <c r="E33" s="160" t="s">
        <v>870</v>
      </c>
      <c r="F33" s="160">
        <f>IFERROR((VLOOKUP(LEFT($A33,4),'Cash Flow $s Yr1'!$B$12:$R$154,3,FALSE)),0)</f>
        <v>122.15</v>
      </c>
      <c r="G33" s="160">
        <f>IFERROR((VLOOKUP(LEFT($A33,4),'Cash Flow $s Yr1'!$B$12:$R$154,4,FALSE)),0)</f>
        <v>122.15</v>
      </c>
      <c r="H33" s="160">
        <f>IFERROR((VLOOKUP(LEFT($A33,4),'Cash Flow $s Yr1'!$B$12:$R$154,5,FALSE)),0)</f>
        <v>219.87</v>
      </c>
      <c r="I33" s="160">
        <f>IFERROR((VLOOKUP(LEFT($A33,4),'Cash Flow $s Yr1'!$B$12:$R$154,6,FALSE)),0)</f>
        <v>219.87</v>
      </c>
      <c r="J33" s="160">
        <f>IFERROR((VLOOKUP(LEFT($A33,4),'Cash Flow $s Yr1'!$B$12:$R$154,7,FALSE)),0)</f>
        <v>219.87</v>
      </c>
      <c r="K33" s="160">
        <f>IFERROR((VLOOKUP(LEFT($A33,4),'Cash Flow $s Yr1'!$B$12:$R$154,8,FALSE)),0)</f>
        <v>219.87</v>
      </c>
      <c r="L33" s="160">
        <f>IFERROR((VLOOKUP(LEFT($A33,4),'Cash Flow $s Yr1'!$B$12:$R$154,9,FALSE)),0)</f>
        <v>219.87</v>
      </c>
      <c r="M33" s="160">
        <f>IFERROR((VLOOKUP(LEFT($A33,4),'Cash Flow $s Yr1'!$B$12:$R$154,10,FALSE)),0)</f>
        <v>219.87</v>
      </c>
      <c r="N33" s="160">
        <f>IFERROR((VLOOKUP(LEFT($A33,4),'Cash Flow $s Yr1'!$B$12:$R$154,11,FALSE)),0)</f>
        <v>219.87</v>
      </c>
      <c r="O33" s="160">
        <f>IFERROR((VLOOKUP(LEFT($A33,4),'Cash Flow $s Yr1'!$B$12:$R$154,12,FALSE)),0)</f>
        <v>219.87</v>
      </c>
      <c r="P33" s="160">
        <f>IFERROR((VLOOKUP(LEFT($A33,4),'Cash Flow $s Yr1'!$B$12:$R$154,13,FALSE)),0)</f>
        <v>219.87</v>
      </c>
      <c r="Q33" s="160">
        <f>IFERROR((VLOOKUP(LEFT($A33,4),'Cash Flow $s Yr1'!$B$12:$R$154,14,FALSE)),0)</f>
        <v>219.87</v>
      </c>
      <c r="R33" s="287">
        <f t="shared" ref="R33:R50" si="3">SUM(F33:Q33)</f>
        <v>2442.9999999999995</v>
      </c>
    </row>
    <row r="34" spans="1:19" x14ac:dyDescent="0.15">
      <c r="A34" s="163" t="s">
        <v>896</v>
      </c>
      <c r="B34" s="162" t="s">
        <v>1242</v>
      </c>
      <c r="C34" s="160" t="s">
        <v>868</v>
      </c>
      <c r="D34" s="160" t="s">
        <v>869</v>
      </c>
      <c r="E34" s="160" t="s">
        <v>870</v>
      </c>
      <c r="F34" s="160">
        <f>IFERROR((VLOOKUP(LEFT($A34,4),'Cash Flow $s Yr1'!$B$12:$R$154,3,FALSE)),0)</f>
        <v>0</v>
      </c>
      <c r="G34" s="160">
        <f>IFERROR((VLOOKUP(LEFT($A34,4),'Cash Flow $s Yr1'!$B$12:$R$154,4,FALSE)),0)</f>
        <v>0</v>
      </c>
      <c r="H34" s="160">
        <f>IFERROR((VLOOKUP(LEFT($A34,4),'Cash Flow $s Yr1'!$B$12:$R$154,5,FALSE)),0)</f>
        <v>0</v>
      </c>
      <c r="I34" s="160">
        <f>IFERROR((VLOOKUP(LEFT($A34,4),'Cash Flow $s Yr1'!$B$12:$R$154,6,FALSE)),0)</f>
        <v>0</v>
      </c>
      <c r="J34" s="160">
        <f>IFERROR((VLOOKUP(LEFT($A34,4),'Cash Flow $s Yr1'!$B$12:$R$154,7,FALSE)),0)</f>
        <v>1050</v>
      </c>
      <c r="K34" s="160">
        <f>IFERROR((VLOOKUP(LEFT($A34,4),'Cash Flow $s Yr1'!$B$12:$R$154,8,FALSE)),0)</f>
        <v>1050</v>
      </c>
      <c r="L34" s="160">
        <f>IFERROR((VLOOKUP(LEFT($A34,4),'Cash Flow $s Yr1'!$B$12:$R$154,9,FALSE)),0)</f>
        <v>1050</v>
      </c>
      <c r="M34" s="160">
        <f>IFERROR((VLOOKUP(LEFT($A34,4),'Cash Flow $s Yr1'!$B$12:$R$154,10,FALSE)),0)</f>
        <v>1050</v>
      </c>
      <c r="N34" s="160">
        <f>IFERROR((VLOOKUP(LEFT($A34,4),'Cash Flow $s Yr1'!$B$12:$R$154,11,FALSE)),0)</f>
        <v>1050</v>
      </c>
      <c r="O34" s="160">
        <f>IFERROR((VLOOKUP(LEFT($A34,4),'Cash Flow $s Yr1'!$B$12:$R$154,12,FALSE)),0)</f>
        <v>1050</v>
      </c>
      <c r="P34" s="160">
        <f>IFERROR((VLOOKUP(LEFT($A34,4),'Cash Flow $s Yr1'!$B$12:$R$154,13,FALSE)),0)</f>
        <v>1050</v>
      </c>
      <c r="Q34" s="160">
        <f>IFERROR((VLOOKUP(LEFT($A34,4),'Cash Flow $s Yr1'!$B$12:$R$154,14,FALSE)),0)</f>
        <v>1050</v>
      </c>
      <c r="R34" s="287">
        <f t="shared" si="3"/>
        <v>8400</v>
      </c>
    </row>
    <row r="35" spans="1:19" x14ac:dyDescent="0.15">
      <c r="A35" s="163" t="s">
        <v>897</v>
      </c>
      <c r="B35" s="162" t="s">
        <v>1242</v>
      </c>
      <c r="C35" s="160" t="s">
        <v>868</v>
      </c>
      <c r="D35" s="160" t="s">
        <v>869</v>
      </c>
      <c r="E35" s="160" t="s">
        <v>870</v>
      </c>
      <c r="F35" s="160">
        <f>+'Cash Flow $s Yr1'!D127</f>
        <v>2165.3000000000002</v>
      </c>
      <c r="G35" s="160">
        <f>+'Cash Flow $s Yr1'!E127</f>
        <v>2165.3000000000002</v>
      </c>
      <c r="H35" s="160">
        <f>+'Cash Flow $s Yr1'!F127</f>
        <v>3897.54</v>
      </c>
      <c r="I35" s="160">
        <f>+'Cash Flow $s Yr1'!G127</f>
        <v>3897.54</v>
      </c>
      <c r="J35" s="160">
        <f>+'Cash Flow $s Yr1'!H127</f>
        <v>3897.54</v>
      </c>
      <c r="K35" s="160">
        <f>+'Cash Flow $s Yr1'!I127</f>
        <v>3897.54</v>
      </c>
      <c r="L35" s="160">
        <f>+'Cash Flow $s Yr1'!J127</f>
        <v>3897.54</v>
      </c>
      <c r="M35" s="160">
        <f>+'Cash Flow $s Yr1'!K127</f>
        <v>3897.54</v>
      </c>
      <c r="N35" s="160">
        <f>+'Cash Flow $s Yr1'!L127</f>
        <v>3897.54</v>
      </c>
      <c r="O35" s="160">
        <f>+'Cash Flow $s Yr1'!M127</f>
        <v>3897.54</v>
      </c>
      <c r="P35" s="160">
        <f>+'Cash Flow $s Yr1'!N127</f>
        <v>3897.54</v>
      </c>
      <c r="Q35" s="160">
        <f>+'Cash Flow $s Yr1'!O127</f>
        <v>3897.54</v>
      </c>
      <c r="R35" s="287">
        <f t="shared" si="3"/>
        <v>43306.000000000007</v>
      </c>
    </row>
    <row r="36" spans="1:19" x14ac:dyDescent="0.15">
      <c r="A36" s="163" t="s">
        <v>898</v>
      </c>
      <c r="B36" s="162" t="s">
        <v>1242</v>
      </c>
      <c r="C36" s="160" t="s">
        <v>868</v>
      </c>
      <c r="D36" s="160" t="s">
        <v>869</v>
      </c>
      <c r="E36" s="160" t="s">
        <v>870</v>
      </c>
      <c r="F36" s="160">
        <f>+'Cash Flow $s Yr1'!D128</f>
        <v>0</v>
      </c>
      <c r="G36" s="160">
        <f>+'Cash Flow $s Yr1'!E128</f>
        <v>0</v>
      </c>
      <c r="H36" s="160">
        <f>+'Cash Flow $s Yr1'!F128</f>
        <v>59.2</v>
      </c>
      <c r="I36" s="160">
        <f>+'Cash Flow $s Yr1'!G128</f>
        <v>59.2</v>
      </c>
      <c r="J36" s="160">
        <f>+'Cash Flow $s Yr1'!H128</f>
        <v>59.2</v>
      </c>
      <c r="K36" s="160">
        <f>+'Cash Flow $s Yr1'!I128</f>
        <v>59.2</v>
      </c>
      <c r="L36" s="160">
        <f>+'Cash Flow $s Yr1'!J128</f>
        <v>59.2</v>
      </c>
      <c r="M36" s="160">
        <f>+'Cash Flow $s Yr1'!K128</f>
        <v>59.2</v>
      </c>
      <c r="N36" s="160">
        <f>+'Cash Flow $s Yr1'!L128</f>
        <v>59.2</v>
      </c>
      <c r="O36" s="160">
        <f>+'Cash Flow $s Yr1'!M128</f>
        <v>59.2</v>
      </c>
      <c r="P36" s="160">
        <f>+'Cash Flow $s Yr1'!N128</f>
        <v>59.2</v>
      </c>
      <c r="Q36" s="160">
        <f>+'Cash Flow $s Yr1'!O128</f>
        <v>59.2</v>
      </c>
      <c r="R36" s="287">
        <f t="shared" ref="R36" si="4">SUM(F36:Q36)</f>
        <v>592</v>
      </c>
    </row>
    <row r="37" spans="1:19" x14ac:dyDescent="0.15">
      <c r="A37" s="163" t="s">
        <v>1239</v>
      </c>
      <c r="B37" s="162" t="s">
        <v>1242</v>
      </c>
      <c r="C37" s="160" t="s">
        <v>868</v>
      </c>
      <c r="D37" s="160" t="s">
        <v>869</v>
      </c>
      <c r="E37" s="160" t="s">
        <v>870</v>
      </c>
      <c r="F37" s="160">
        <f>+'Cash Flow $s Yr1'!D129</f>
        <v>0</v>
      </c>
      <c r="G37" s="160">
        <f>+'Cash Flow $s Yr1'!E129</f>
        <v>0</v>
      </c>
      <c r="H37" s="160">
        <f>+'Cash Flow $s Yr1'!F129</f>
        <v>3950.8</v>
      </c>
      <c r="I37" s="160">
        <f>+'Cash Flow $s Yr1'!G129</f>
        <v>3950.8</v>
      </c>
      <c r="J37" s="160">
        <f>+'Cash Flow $s Yr1'!H129</f>
        <v>3950.8</v>
      </c>
      <c r="K37" s="160">
        <f>+'Cash Flow $s Yr1'!I129</f>
        <v>3950.8</v>
      </c>
      <c r="L37" s="160">
        <f>+'Cash Flow $s Yr1'!J129</f>
        <v>3950.8</v>
      </c>
      <c r="M37" s="160">
        <f>+'Cash Flow $s Yr1'!K129</f>
        <v>3950.8</v>
      </c>
      <c r="N37" s="160">
        <f>+'Cash Flow $s Yr1'!L129</f>
        <v>3950.8</v>
      </c>
      <c r="O37" s="160">
        <f>+'Cash Flow $s Yr1'!M129</f>
        <v>3950.8</v>
      </c>
      <c r="P37" s="160">
        <f>+'Cash Flow $s Yr1'!N129</f>
        <v>3950.8</v>
      </c>
      <c r="Q37" s="160">
        <f>+'Cash Flow $s Yr1'!O129</f>
        <v>3950.8</v>
      </c>
      <c r="R37" s="287">
        <f t="shared" si="3"/>
        <v>39508</v>
      </c>
    </row>
    <row r="38" spans="1:19" x14ac:dyDescent="0.15">
      <c r="A38" s="163" t="s">
        <v>1210</v>
      </c>
      <c r="B38" s="162" t="s">
        <v>1242</v>
      </c>
      <c r="C38" s="160" t="s">
        <v>868</v>
      </c>
      <c r="D38" s="160" t="s">
        <v>869</v>
      </c>
      <c r="E38" s="160" t="s">
        <v>870</v>
      </c>
      <c r="F38" s="160">
        <f>IFERROR((VLOOKUP(LEFT($A38,4),'Cash Flow $s Yr1'!$B$12:$R$154,3,FALSE)),0)</f>
        <v>2059.1845812493029</v>
      </c>
      <c r="G38" s="160">
        <f>IFERROR((VLOOKUP(LEFT($A38,4),'Cash Flow $s Yr1'!$B$12:$R$154,4,FALSE)),0)</f>
        <v>0</v>
      </c>
      <c r="H38" s="160">
        <f>IFERROR((VLOOKUP(LEFT($A38,4),'Cash Flow $s Yr1'!$B$12:$R$154,5,FALSE)),0)</f>
        <v>0</v>
      </c>
      <c r="I38" s="160">
        <f>IFERROR((VLOOKUP(LEFT($A38,4),'Cash Flow $s Yr1'!$B$12:$R$154,6,FALSE)),0)</f>
        <v>0</v>
      </c>
      <c r="J38" s="160">
        <f>IFERROR((VLOOKUP(LEFT($A38,4),'Cash Flow $s Yr1'!$B$12:$R$154,7,FALSE)),0)</f>
        <v>1600.4429307719402</v>
      </c>
      <c r="K38" s="160">
        <f>IFERROR((VLOOKUP(LEFT($A38,4),'Cash Flow $s Yr1'!$B$12:$R$154,8,FALSE)),0)</f>
        <v>0</v>
      </c>
      <c r="L38" s="160">
        <f>IFERROR((VLOOKUP(LEFT($A38,4),'Cash Flow $s Yr1'!$B$12:$R$154,9,FALSE)),0)</f>
        <v>2513.6511657410711</v>
      </c>
      <c r="M38" s="160">
        <f>IFERROR((VLOOKUP(LEFT($A38,4),'Cash Flow $s Yr1'!$B$12:$R$154,10,FALSE)),0)</f>
        <v>0</v>
      </c>
      <c r="N38" s="160">
        <f>IFERROR((VLOOKUP(LEFT($A38,4),'Cash Flow $s Yr1'!$B$12:$R$154,11,FALSE)),0)</f>
        <v>0</v>
      </c>
      <c r="O38" s="160">
        <f>IFERROR((VLOOKUP(LEFT($A38,4),'Cash Flow $s Yr1'!$B$12:$R$154,12,FALSE)),0)</f>
        <v>2513.6511657410711</v>
      </c>
      <c r="P38" s="160">
        <f>IFERROR((VLOOKUP(LEFT($A38,4),'Cash Flow $s Yr1'!$B$12:$R$154,13,FALSE)),0)</f>
        <v>0</v>
      </c>
      <c r="Q38" s="160">
        <f>IFERROR((VLOOKUP(LEFT($A38,4),'Cash Flow $s Yr1'!$B$12:$R$154,14,FALSE)),0)</f>
        <v>0</v>
      </c>
      <c r="R38" s="287">
        <f t="shared" si="3"/>
        <v>8686.9298435033852</v>
      </c>
    </row>
    <row r="39" spans="1:19" x14ac:dyDescent="0.15">
      <c r="A39" s="163" t="s">
        <v>899</v>
      </c>
      <c r="B39" s="162" t="s">
        <v>1242</v>
      </c>
      <c r="C39" s="160" t="s">
        <v>868</v>
      </c>
      <c r="D39" s="160" t="s">
        <v>869</v>
      </c>
      <c r="E39" s="160" t="s">
        <v>870</v>
      </c>
      <c r="F39" s="160">
        <f>+'Cash Flow $s Yr1'!D131</f>
        <v>22.998666</v>
      </c>
      <c r="G39" s="160">
        <f>+'Cash Flow $s Yr1'!E131</f>
        <v>22.998666</v>
      </c>
      <c r="H39" s="160">
        <f>+'Cash Flow $s Yr1'!F131</f>
        <v>22.998666</v>
      </c>
      <c r="I39" s="160">
        <f>+'Cash Flow $s Yr1'!G131</f>
        <v>22.998666</v>
      </c>
      <c r="J39" s="160">
        <f>+'Cash Flow $s Yr1'!H131</f>
        <v>22.998666</v>
      </c>
      <c r="K39" s="160">
        <f>+'Cash Flow $s Yr1'!I131</f>
        <v>22.998666</v>
      </c>
      <c r="L39" s="160">
        <f>+'Cash Flow $s Yr1'!J131</f>
        <v>22.998666</v>
      </c>
      <c r="M39" s="160">
        <f>+'Cash Flow $s Yr1'!K131</f>
        <v>22.998666</v>
      </c>
      <c r="N39" s="160">
        <f>+'Cash Flow $s Yr1'!L131</f>
        <v>22.998666</v>
      </c>
      <c r="O39" s="160">
        <f>+'Cash Flow $s Yr1'!M131</f>
        <v>22.998666</v>
      </c>
      <c r="P39" s="160">
        <f>+'Cash Flow $s Yr1'!N131</f>
        <v>22.998666</v>
      </c>
      <c r="Q39" s="160">
        <f>+'Cash Flow $s Yr1'!O131</f>
        <v>23.014536</v>
      </c>
      <c r="R39" s="287">
        <f t="shared" si="3"/>
        <v>275.99986200000006</v>
      </c>
    </row>
    <row r="40" spans="1:19" x14ac:dyDescent="0.15">
      <c r="A40" s="163" t="s">
        <v>900</v>
      </c>
      <c r="B40" s="162" t="s">
        <v>1242</v>
      </c>
      <c r="C40" s="160" t="s">
        <v>868</v>
      </c>
      <c r="D40" s="160" t="s">
        <v>869</v>
      </c>
      <c r="E40" s="160" t="s">
        <v>870</v>
      </c>
      <c r="F40" s="160" t="str">
        <f>IFERROR((VLOOKUP(LEFT($A40,4),'Cash Flow $s Yr1'!$B$12:$R$154,3,FALSE)),0)</f>
        <v/>
      </c>
      <c r="G40" s="160" t="str">
        <f>IFERROR((VLOOKUP(LEFT($A40,4),'Cash Flow $s Yr1'!$B$12:$R$154,4,FALSE)),0)</f>
        <v/>
      </c>
      <c r="H40" s="160">
        <f>IFERROR((VLOOKUP(LEFT($A40,4),'Cash Flow $s Yr1'!$B$12:$R$154,5,FALSE)),0)</f>
        <v>380.8</v>
      </c>
      <c r="I40" s="160">
        <f>IFERROR((VLOOKUP(LEFT($A40,4),'Cash Flow $s Yr1'!$B$12:$R$154,6,FALSE)),0)</f>
        <v>380.8</v>
      </c>
      <c r="J40" s="160">
        <f>IFERROR((VLOOKUP(LEFT($A40,4),'Cash Flow $s Yr1'!$B$12:$R$154,7,FALSE)),0)</f>
        <v>380.8</v>
      </c>
      <c r="K40" s="160">
        <f>IFERROR((VLOOKUP(LEFT($A40,4),'Cash Flow $s Yr1'!$B$12:$R$154,8,FALSE)),0)</f>
        <v>380.8</v>
      </c>
      <c r="L40" s="160">
        <f>IFERROR((VLOOKUP(LEFT($A40,4),'Cash Flow $s Yr1'!$B$12:$R$154,9,FALSE)),0)</f>
        <v>380.8</v>
      </c>
      <c r="M40" s="160">
        <f>IFERROR((VLOOKUP(LEFT($A40,4),'Cash Flow $s Yr1'!$B$12:$R$154,10,FALSE)),0)</f>
        <v>380.8</v>
      </c>
      <c r="N40" s="160">
        <f>IFERROR((VLOOKUP(LEFT($A40,4),'Cash Flow $s Yr1'!$B$12:$R$154,11,FALSE)),0)</f>
        <v>380.8</v>
      </c>
      <c r="O40" s="160">
        <f>IFERROR((VLOOKUP(LEFT($A40,4),'Cash Flow $s Yr1'!$B$12:$R$154,12,FALSE)),0)</f>
        <v>380.8</v>
      </c>
      <c r="P40" s="160">
        <f>IFERROR((VLOOKUP(LEFT($A40,4),'Cash Flow $s Yr1'!$B$12:$R$154,13,FALSE)),0)</f>
        <v>380.8</v>
      </c>
      <c r="Q40" s="160">
        <f>IFERROR((VLOOKUP(LEFT($A40,4),'Cash Flow $s Yr1'!$B$12:$R$154,14,FALSE)),0)</f>
        <v>380.8</v>
      </c>
      <c r="R40" s="287">
        <f t="shared" si="3"/>
        <v>3808.0000000000009</v>
      </c>
    </row>
    <row r="41" spans="1:19" x14ac:dyDescent="0.15">
      <c r="A41" s="163" t="s">
        <v>901</v>
      </c>
      <c r="B41" s="162" t="s">
        <v>1242</v>
      </c>
      <c r="C41" s="160" t="s">
        <v>868</v>
      </c>
      <c r="D41" s="160" t="s">
        <v>869</v>
      </c>
      <c r="E41" s="160" t="s">
        <v>870</v>
      </c>
      <c r="F41" s="160">
        <f>+'Cash Flow $s Yr1'!D147</f>
        <v>0</v>
      </c>
      <c r="G41" s="160">
        <f>+'Cash Flow $s Yr1'!E147</f>
        <v>0</v>
      </c>
      <c r="H41" s="160">
        <f>+'Cash Flow $s Yr1'!F147</f>
        <v>0</v>
      </c>
      <c r="I41" s="160">
        <f>+'Cash Flow $s Yr1'!G147</f>
        <v>0</v>
      </c>
      <c r="J41" s="160">
        <f>+'Cash Flow $s Yr1'!H147</f>
        <v>0</v>
      </c>
      <c r="K41" s="160">
        <f>+'Cash Flow $s Yr1'!I147</f>
        <v>0</v>
      </c>
      <c r="L41" s="160">
        <f>+'Cash Flow $s Yr1'!J147</f>
        <v>0</v>
      </c>
      <c r="M41" s="160">
        <f>+'Cash Flow $s Yr1'!K147</f>
        <v>0</v>
      </c>
      <c r="N41" s="160">
        <f>+'Cash Flow $s Yr1'!L147</f>
        <v>0</v>
      </c>
      <c r="O41" s="160">
        <f>+'Cash Flow $s Yr1'!M147</f>
        <v>0</v>
      </c>
      <c r="P41" s="160">
        <f>+'Cash Flow $s Yr1'!N147</f>
        <v>0</v>
      </c>
      <c r="Q41" s="160">
        <f>+'Cash Flow $s Yr1'!O147</f>
        <v>2824</v>
      </c>
      <c r="R41" s="287">
        <f t="shared" si="3"/>
        <v>2824</v>
      </c>
      <c r="S41" s="165">
        <f>SUM('Cash Flow $s Yr1'!D148:R148)/SUM(Fiscal_Sets!F41:Q41)</f>
        <v>1</v>
      </c>
    </row>
    <row r="42" spans="1:19" x14ac:dyDescent="0.15">
      <c r="A42" s="163" t="s">
        <v>902</v>
      </c>
      <c r="B42" s="162" t="s">
        <v>1242</v>
      </c>
      <c r="C42" s="160" t="s">
        <v>868</v>
      </c>
      <c r="D42" s="160" t="s">
        <v>869</v>
      </c>
      <c r="E42" s="160" t="s">
        <v>870</v>
      </c>
      <c r="F42" s="160">
        <f>IFERROR((VLOOKUP(LEFT($A42,4),'Cash Flow $s Yr1'!$B$12:$R$154,3,FALSE)),0)</f>
        <v>0</v>
      </c>
      <c r="G42" s="160">
        <f>IFERROR((VLOOKUP(LEFT($A42,4),'Cash Flow $s Yr1'!$B$12:$R$154,4,FALSE)),0)</f>
        <v>0</v>
      </c>
      <c r="H42" s="160">
        <f>IFERROR((VLOOKUP(LEFT($A42,4),'Cash Flow $s Yr1'!$B$12:$R$154,5,FALSE)),0)</f>
        <v>0</v>
      </c>
      <c r="I42" s="160">
        <f>IFERROR((VLOOKUP(LEFT($A42,4),'Cash Flow $s Yr1'!$B$12:$R$154,6,FALSE)),0)</f>
        <v>0</v>
      </c>
      <c r="J42" s="160">
        <f>IFERROR((VLOOKUP(LEFT($A42,4),'Cash Flow $s Yr1'!$B$12:$R$154,7,FALSE)),0)</f>
        <v>0</v>
      </c>
      <c r="K42" s="160">
        <f>IFERROR((VLOOKUP(LEFT($A42,4),'Cash Flow $s Yr1'!$B$12:$R$154,8,FALSE)),0)</f>
        <v>0</v>
      </c>
      <c r="L42" s="160">
        <f>IFERROR((VLOOKUP(LEFT($A42,4),'Cash Flow $s Yr1'!$B$12:$R$154,9,FALSE)),0)</f>
        <v>0</v>
      </c>
      <c r="M42" s="160">
        <f>IFERROR((VLOOKUP(LEFT($A42,4),'Cash Flow $s Yr1'!$B$12:$R$154,10,FALSE)),0)</f>
        <v>0</v>
      </c>
      <c r="N42" s="160">
        <f>IFERROR((VLOOKUP(LEFT($A42,4),'Cash Flow $s Yr1'!$B$12:$R$154,11,FALSE)),0)</f>
        <v>0</v>
      </c>
      <c r="O42" s="160">
        <f>IFERROR((VLOOKUP(LEFT($A42,4),'Cash Flow $s Yr1'!$B$12:$R$154,12,FALSE)),0)</f>
        <v>0</v>
      </c>
      <c r="P42" s="160">
        <f>IFERROR((VLOOKUP(LEFT($A42,4),'Cash Flow $s Yr1'!$B$12:$R$154,13,FALSE)),0)</f>
        <v>0</v>
      </c>
      <c r="Q42" s="160">
        <f>IFERROR((VLOOKUP(LEFT($A42,4),'Cash Flow $s Yr1'!$B$12:$R$154,14,FALSE)),0)</f>
        <v>73078.0098</v>
      </c>
      <c r="R42" s="287">
        <f t="shared" si="3"/>
        <v>73078.0098</v>
      </c>
    </row>
    <row r="43" spans="1:19" x14ac:dyDescent="0.15">
      <c r="A43" s="163" t="s">
        <v>1195</v>
      </c>
      <c r="B43" s="162" t="s">
        <v>1242</v>
      </c>
      <c r="C43" s="160" t="s">
        <v>868</v>
      </c>
      <c r="D43" s="160" t="s">
        <v>869</v>
      </c>
      <c r="E43" s="160" t="s">
        <v>870</v>
      </c>
      <c r="F43" s="168">
        <f>IFERROR((-VLOOKUP(LEFT($A43,4),'Cash Flow $s Yr1'!$B$12:$R$154,3,FALSE)),0)</f>
        <v>0</v>
      </c>
      <c r="G43" s="168">
        <f>IFERROR((-VLOOKUP(LEFT($A43,4),'Cash Flow $s Yr1'!$B$12:$R$154,4,FALSE)),0)</f>
        <v>0</v>
      </c>
      <c r="H43" s="168">
        <f>IFERROR((-VLOOKUP(LEFT($A43,4),'Cash Flow $s Yr1'!$B$12:$R$154,5,FALSE)),0)</f>
        <v>-36289</v>
      </c>
      <c r="I43" s="168">
        <f>IFERROR((-VLOOKUP(LEFT($A43,4),'Cash Flow $s Yr1'!$B$12:$R$154,6,FALSE)),0)</f>
        <v>0</v>
      </c>
      <c r="J43" s="168">
        <f>IFERROR((-VLOOKUP(LEFT($A43,4),'Cash Flow $s Yr1'!$B$12:$R$154,7,FALSE)),0)</f>
        <v>0</v>
      </c>
      <c r="K43" s="168">
        <f>IFERROR((-VLOOKUP(LEFT($A43,4),'Cash Flow $s Yr1'!$B$12:$R$154,8,FALSE)),0)</f>
        <v>-36289</v>
      </c>
      <c r="L43" s="168">
        <f>IFERROR((-VLOOKUP(LEFT($A43,4),'Cash Flow $s Yr1'!$B$12:$R$154,9,FALSE)),0)</f>
        <v>0</v>
      </c>
      <c r="M43" s="168">
        <f>IFERROR((-VLOOKUP(LEFT($A43,4),'Cash Flow $s Yr1'!$B$12:$R$154,10,FALSE)),0)</f>
        <v>0</v>
      </c>
      <c r="N43" s="168">
        <f>IFERROR((-VLOOKUP(LEFT($A43,4),'Cash Flow $s Yr1'!$B$12:$R$154,11,FALSE)),0)</f>
        <v>-39023.5</v>
      </c>
      <c r="O43" s="168">
        <f>IFERROR((-VLOOKUP(LEFT($A43,4),'Cash Flow $s Yr1'!$B$12:$R$154,12,FALSE)),0)</f>
        <v>0</v>
      </c>
      <c r="P43" s="168">
        <f>IFERROR((-VLOOKUP(LEFT($A43,4),'Cash Flow $s Yr1'!$B$12:$R$154,13,FALSE)),0)</f>
        <v>0</v>
      </c>
      <c r="Q43" s="168">
        <f>IFERROR((-VLOOKUP(LEFT($A43,4),'Cash Flow $s Yr1'!$B$12:$R$154,14,FALSE)-VLOOKUP(LEFT($A43,4),'Cash Flow $s Yr1'!$B$12:$R$154,15,FALSE)-VLOOKUP(LEFT($A43,4),'Cash Flow $s Yr1'!$B$12:$R$154,16,FALSE)-VLOOKUP(LEFT($A43,4),'Cash Flow $s Yr1'!$B$12:$R$154,17,FALSE)),0)</f>
        <v>-39023.5</v>
      </c>
      <c r="R43" s="287">
        <f t="shared" si="3"/>
        <v>-150625</v>
      </c>
    </row>
    <row r="44" spans="1:19" x14ac:dyDescent="0.15">
      <c r="A44" s="163" t="s">
        <v>1203</v>
      </c>
      <c r="B44" s="162" t="s">
        <v>1242</v>
      </c>
      <c r="C44" s="160" t="s">
        <v>868</v>
      </c>
      <c r="D44" s="160" t="s">
        <v>869</v>
      </c>
      <c r="E44" s="160" t="s">
        <v>870</v>
      </c>
      <c r="F44" s="168">
        <f>IFERROR((-VLOOKUP(LEFT($A44,4),'Cash Flow $s Yr1'!$B$12:$R$154,3,FALSE)),0)</f>
        <v>-18342</v>
      </c>
      <c r="G44" s="168">
        <f>IFERROR((-VLOOKUP(LEFT($A44,4),'Cash Flow $s Yr1'!$B$12:$R$154,4,FALSE)),0)</f>
        <v>-18342</v>
      </c>
      <c r="H44" s="168">
        <f>IFERROR((-VLOOKUP(LEFT($A44,4),'Cash Flow $s Yr1'!$B$12:$R$154,5,FALSE)),0)</f>
        <v>-33016</v>
      </c>
      <c r="I44" s="168">
        <f>IFERROR((-VLOOKUP(LEFT($A44,4),'Cash Flow $s Yr1'!$B$12:$R$154,6,FALSE)),0)</f>
        <v>-33016</v>
      </c>
      <c r="J44" s="168">
        <f>IFERROR((-VLOOKUP(LEFT($A44,4),'Cash Flow $s Yr1'!$B$12:$R$154,7,FALSE)),0)</f>
        <v>-33016</v>
      </c>
      <c r="K44" s="168">
        <f>IFERROR((-VLOOKUP(LEFT($A44,4),'Cash Flow $s Yr1'!$B$12:$R$154,8,FALSE)),0)</f>
        <v>-33016</v>
      </c>
      <c r="L44" s="168">
        <f>IFERROR((-VLOOKUP(LEFT($A44,4),'Cash Flow $s Yr1'!$B$12:$R$154,9,FALSE)),0)</f>
        <v>-33016</v>
      </c>
      <c r="M44" s="168">
        <f>IFERROR((-VLOOKUP(LEFT($A44,4),'Cash Flow $s Yr1'!$B$12:$R$154,10,FALSE)),0)</f>
        <v>-37532.6</v>
      </c>
      <c r="N44" s="168">
        <f>IFERROR((-VLOOKUP(LEFT($A44,4),'Cash Flow $s Yr1'!$B$12:$R$154,11,FALSE)),0)</f>
        <v>-37532.6</v>
      </c>
      <c r="O44" s="168">
        <f>IFERROR((-VLOOKUP(LEFT($A44,4),'Cash Flow $s Yr1'!$B$12:$R$154,12,FALSE)),0)</f>
        <v>-37532.6</v>
      </c>
      <c r="P44" s="168">
        <f>IFERROR((-VLOOKUP(LEFT($A44,4),'Cash Flow $s Yr1'!$B$12:$R$154,13,FALSE)),0)</f>
        <v>-37532.6</v>
      </c>
      <c r="Q44" s="168">
        <f>IFERROR((-VLOOKUP(LEFT($A44,4),'Cash Flow $s Yr1'!$B$12:$R$154,14,FALSE)-VLOOKUP(LEFT($A44,4),'Cash Flow $s Yr1'!$B$12:$R$154,15,FALSE)-VLOOKUP(LEFT($A44,4),'Cash Flow $s Yr1'!$B$12:$R$154,16,FALSE)-VLOOKUP(LEFT($A44,4),'Cash Flow $s Yr1'!$B$12:$R$154,17,FALSE)),0)</f>
        <v>-37532.6</v>
      </c>
      <c r="R44" s="287">
        <f t="shared" si="3"/>
        <v>-389426.99999999994</v>
      </c>
    </row>
    <row r="45" spans="1:19" x14ac:dyDescent="0.15">
      <c r="A45" s="163" t="s">
        <v>903</v>
      </c>
      <c r="B45" s="162" t="s">
        <v>1242</v>
      </c>
      <c r="C45" s="160" t="s">
        <v>868</v>
      </c>
      <c r="D45" s="160" t="s">
        <v>869</v>
      </c>
      <c r="E45" s="160" t="s">
        <v>870</v>
      </c>
      <c r="F45" s="168">
        <f>-'Cash Flow $s Yr1'!D14</f>
        <v>-19996.106819999997</v>
      </c>
      <c r="G45" s="168">
        <f>-'Cash Flow $s Yr1'!E14</f>
        <v>-39992.213639999994</v>
      </c>
      <c r="H45" s="168">
        <f>-'Cash Flow $s Yr1'!F14</f>
        <v>-26661.475760000001</v>
      </c>
      <c r="I45" s="168">
        <f>-'Cash Flow $s Yr1'!G14</f>
        <v>-26661.475760000001</v>
      </c>
      <c r="J45" s="168">
        <f>-'Cash Flow $s Yr1'!H14</f>
        <v>-26661.475760000001</v>
      </c>
      <c r="K45" s="168">
        <f>-'Cash Flow $s Yr1'!I14</f>
        <v>-26661.475760000001</v>
      </c>
      <c r="L45" s="168">
        <f>-'Cash Flow $s Yr1'!J14</f>
        <v>-26661.475760000001</v>
      </c>
      <c r="M45" s="168">
        <f>-'Cash Flow $s Yr1'!K14</f>
        <v>-46657.582580000002</v>
      </c>
      <c r="N45" s="168">
        <f>-'Cash Flow $s Yr1'!L14</f>
        <v>-23328.791290000001</v>
      </c>
      <c r="O45" s="168">
        <f>-'Cash Flow $s Yr1'!M14</f>
        <v>-23328.791290000001</v>
      </c>
      <c r="P45" s="168">
        <f>-'Cash Flow $s Yr1'!N14</f>
        <v>-23328.791290000001</v>
      </c>
      <c r="Q45" s="168">
        <f>-SUM('Cash Flow $s Yr1'!O14:R14)</f>
        <v>-23328.791290000001</v>
      </c>
      <c r="R45" s="287">
        <f t="shared" si="3"/>
        <v>-333268.4470000001</v>
      </c>
    </row>
    <row r="46" spans="1:19" x14ac:dyDescent="0.15">
      <c r="A46" s="163" t="s">
        <v>1211</v>
      </c>
      <c r="B46" s="162" t="s">
        <v>1242</v>
      </c>
      <c r="C46" s="160" t="s">
        <v>868</v>
      </c>
      <c r="D46" s="160" t="s">
        <v>869</v>
      </c>
      <c r="E46" s="160" t="s">
        <v>870</v>
      </c>
      <c r="F46" s="168">
        <f>IFERROR((-VLOOKUP(LEFT($A46,4),'Cash Flow $s Yr1'!$B$12:$R$154,3,FALSE)),0)</f>
        <v>0</v>
      </c>
      <c r="G46" s="168">
        <f>IFERROR((-VLOOKUP(LEFT($A46,4),'Cash Flow $s Yr1'!$B$12:$R$154,4,FALSE)),0)</f>
        <v>0</v>
      </c>
      <c r="H46" s="168">
        <f>IFERROR((-VLOOKUP(LEFT($A46,4),'Cash Flow $s Yr1'!$B$12:$R$154,5,FALSE)),0)</f>
        <v>0</v>
      </c>
      <c r="I46" s="168">
        <f>IFERROR((-VLOOKUP(LEFT($A46,4),'Cash Flow $s Yr1'!$B$12:$R$154,6,FALSE)),0)</f>
        <v>0</v>
      </c>
      <c r="J46" s="168">
        <f>IFERROR((-VLOOKUP(LEFT($A46,4),'Cash Flow $s Yr1'!$B$12:$R$154,7,FALSE)),0)</f>
        <v>0</v>
      </c>
      <c r="K46" s="168">
        <f>IFERROR((-VLOOKUP(LEFT($A46,4),'Cash Flow $s Yr1'!$B$12:$R$154,8,FALSE)),0)</f>
        <v>-4942.2049999999999</v>
      </c>
      <c r="L46" s="168">
        <f>IFERROR((-VLOOKUP(LEFT($A46,4),'Cash Flow $s Yr1'!$B$12:$R$154,9,FALSE)),0)</f>
        <v>0</v>
      </c>
      <c r="M46" s="168">
        <f>IFERROR((-VLOOKUP(LEFT($A46,4),'Cash Flow $s Yr1'!$B$12:$R$154,10,FALSE)),0)</f>
        <v>-4942.2049999999999</v>
      </c>
      <c r="N46" s="168">
        <f>IFERROR((-VLOOKUP(LEFT($A46,4),'Cash Flow $s Yr1'!$B$12:$R$154,11,FALSE)),0)</f>
        <v>0</v>
      </c>
      <c r="O46" s="168">
        <f>IFERROR((-VLOOKUP(LEFT($A46,4),'Cash Flow $s Yr1'!$B$12:$R$154,12,FALSE)),0)</f>
        <v>-4942.2049999999999</v>
      </c>
      <c r="P46" s="168">
        <f>IFERROR((-VLOOKUP(LEFT($A46,4),'Cash Flow $s Yr1'!$B$12:$R$154,13,FALSE)),0)</f>
        <v>0</v>
      </c>
      <c r="Q46" s="168">
        <f>IFERROR((-VLOOKUP(LEFT($A46,4),'Cash Flow $s Yr1'!$B$12:$R$154,14,FALSE)-VLOOKUP(LEFT($A46,4),'Cash Flow $s Yr1'!$B$12:$R$154,15,FALSE)-VLOOKUP(LEFT($A46,4),'Cash Flow $s Yr1'!$B$12:$R$154,16,FALSE)-VLOOKUP(LEFT($A46,4),'Cash Flow $s Yr1'!$B$12:$R$154,17,FALSE)),0)</f>
        <v>-4942.2049999999999</v>
      </c>
      <c r="R46" s="287">
        <f t="shared" si="3"/>
        <v>-19768.82</v>
      </c>
    </row>
    <row r="47" spans="1:19" x14ac:dyDescent="0.15">
      <c r="A47" s="163" t="s">
        <v>1240</v>
      </c>
      <c r="B47" s="162" t="s">
        <v>1242</v>
      </c>
      <c r="C47" s="160" t="s">
        <v>868</v>
      </c>
      <c r="D47" s="160" t="s">
        <v>869</v>
      </c>
      <c r="E47" s="160" t="s">
        <v>870</v>
      </c>
      <c r="F47" s="168">
        <f>-'Cash Flow $s Yr1'!D21</f>
        <v>0</v>
      </c>
      <c r="G47" s="168">
        <f>-'Cash Flow $s Yr1'!E21</f>
        <v>0</v>
      </c>
      <c r="H47" s="168">
        <f>-'Cash Flow $s Yr1'!F21</f>
        <v>-1014.5</v>
      </c>
      <c r="I47" s="168">
        <f>-'Cash Flow $s Yr1'!G21</f>
        <v>0</v>
      </c>
      <c r="J47" s="168">
        <f>-'Cash Flow $s Yr1'!H21</f>
        <v>0</v>
      </c>
      <c r="K47" s="168">
        <f>-'Cash Flow $s Yr1'!I21</f>
        <v>0</v>
      </c>
      <c r="L47" s="168">
        <f>-'Cash Flow $s Yr1'!J21</f>
        <v>-1014.5</v>
      </c>
      <c r="M47" s="168">
        <f>-'Cash Flow $s Yr1'!K21</f>
        <v>0</v>
      </c>
      <c r="N47" s="168">
        <f>-'Cash Flow $s Yr1'!L21</f>
        <v>0</v>
      </c>
      <c r="O47" s="168">
        <f>-'Cash Flow $s Yr1'!M21</f>
        <v>0</v>
      </c>
      <c r="P47" s="168">
        <f>-'Cash Flow $s Yr1'!N21</f>
        <v>0</v>
      </c>
      <c r="Q47" s="168">
        <f>-'Cash Flow $s Yr1'!O21</f>
        <v>0</v>
      </c>
      <c r="R47" s="287">
        <f t="shared" si="3"/>
        <v>-2029</v>
      </c>
    </row>
    <row r="48" spans="1:19" x14ac:dyDescent="0.15">
      <c r="A48" s="163" t="s">
        <v>1249</v>
      </c>
      <c r="B48" s="162" t="s">
        <v>1242</v>
      </c>
      <c r="C48" s="160" t="s">
        <v>868</v>
      </c>
      <c r="D48" s="160" t="s">
        <v>869</v>
      </c>
      <c r="E48" s="160" t="s">
        <v>870</v>
      </c>
      <c r="F48" s="168">
        <f>-'Cash Flow $s Yr1'!D20-'Cash Flow $s Yr1'!D22</f>
        <v>0</v>
      </c>
      <c r="G48" s="168">
        <f>-'Cash Flow $s Yr1'!E20-'Cash Flow $s Yr1'!E22</f>
        <v>0</v>
      </c>
      <c r="H48" s="168">
        <f>-'Cash Flow $s Yr1'!F20-'Cash Flow $s Yr1'!F22</f>
        <v>0</v>
      </c>
      <c r="I48" s="168">
        <f>-'Cash Flow $s Yr1'!G20-'Cash Flow $s Yr1'!G22</f>
        <v>0</v>
      </c>
      <c r="J48" s="168">
        <f>-'Cash Flow $s Yr1'!H20-'Cash Flow $s Yr1'!H22</f>
        <v>0</v>
      </c>
      <c r="K48" s="168">
        <f>-'Cash Flow $s Yr1'!I20-'Cash Flow $s Yr1'!I22</f>
        <v>-51517.600000000006</v>
      </c>
      <c r="L48" s="168">
        <f>-'Cash Flow $s Yr1'!J20-'Cash Flow $s Yr1'!J22</f>
        <v>0</v>
      </c>
      <c r="M48" s="168">
        <f>-'Cash Flow $s Yr1'!K20-'Cash Flow $s Yr1'!K22</f>
        <v>0</v>
      </c>
      <c r="N48" s="168">
        <f>-'Cash Flow $s Yr1'!L20-'Cash Flow $s Yr1'!L22</f>
        <v>-12879.400000000001</v>
      </c>
      <c r="O48" s="168">
        <f>-'Cash Flow $s Yr1'!M20-'Cash Flow $s Yr1'!M22</f>
        <v>0</v>
      </c>
      <c r="P48" s="168">
        <f>-'Cash Flow $s Yr1'!N20-'Cash Flow $s Yr1'!N22</f>
        <v>0</v>
      </c>
      <c r="Q48" s="168">
        <f>-'Cash Flow $s Yr1'!O20-'Cash Flow $s Yr1'!O22</f>
        <v>0</v>
      </c>
      <c r="R48" s="287">
        <f t="shared" ref="R48" si="5">SUM(F48:Q48)</f>
        <v>-64397.000000000007</v>
      </c>
    </row>
    <row r="49" spans="1:19" x14ac:dyDescent="0.15">
      <c r="A49" s="163" t="s">
        <v>904</v>
      </c>
      <c r="B49" s="162" t="s">
        <v>1242</v>
      </c>
      <c r="C49" s="160" t="s">
        <v>868</v>
      </c>
      <c r="D49" s="160" t="s">
        <v>869</v>
      </c>
      <c r="E49" s="160" t="s">
        <v>870</v>
      </c>
      <c r="F49" s="168">
        <f>IFERROR((-VLOOKUP(LEFT($A49,4),'Cash Flow $s Yr1'!$B$12:$R$154,3,FALSE)),0)</f>
        <v>0</v>
      </c>
      <c r="G49" s="168">
        <f>IFERROR((-VLOOKUP(LEFT($A49,4),'Cash Flow $s Yr1'!$B$12:$R$154,4,FALSE)),0)</f>
        <v>0</v>
      </c>
      <c r="H49" s="168">
        <f>IFERROR((-VLOOKUP(LEFT($A49,4),'Cash Flow $s Yr1'!$B$12:$R$154,5,FALSE)),0)</f>
        <v>0</v>
      </c>
      <c r="I49" s="168">
        <f>IFERROR((-VLOOKUP(LEFT($A49,4),'Cash Flow $s Yr1'!$B$12:$R$154,6,FALSE)),0)</f>
        <v>0</v>
      </c>
      <c r="J49" s="168">
        <f>IFERROR((-VLOOKUP(LEFT($A49,4),'Cash Flow $s Yr1'!$B$12:$R$154,7,FALSE)),0)</f>
        <v>-9573.75</v>
      </c>
      <c r="K49" s="168">
        <f>IFERROR((-VLOOKUP(LEFT($A49,4),'Cash Flow $s Yr1'!$B$12:$R$154,8,FALSE)),0)</f>
        <v>0</v>
      </c>
      <c r="L49" s="168">
        <f>IFERROR((-VLOOKUP(LEFT($A49,4),'Cash Flow $s Yr1'!$B$12:$R$154,9,FALSE)),0)</f>
        <v>0</v>
      </c>
      <c r="M49" s="168">
        <f>IFERROR((-VLOOKUP(LEFT($A49,4),'Cash Flow $s Yr1'!$B$12:$R$154,10,FALSE)),0)</f>
        <v>-9573.75</v>
      </c>
      <c r="N49" s="168">
        <f>IFERROR((-VLOOKUP(LEFT($A49,4),'Cash Flow $s Yr1'!$B$12:$R$154,11,FALSE)),0)</f>
        <v>0</v>
      </c>
      <c r="O49" s="168">
        <f>IFERROR((-VLOOKUP(LEFT($A49,4),'Cash Flow $s Yr1'!$B$12:$R$154,12,FALSE)),0)</f>
        <v>0</v>
      </c>
      <c r="P49" s="168">
        <f>IFERROR((-VLOOKUP(LEFT($A49,4),'Cash Flow $s Yr1'!$B$12:$R$154,13,FALSE)),0)</f>
        <v>-9573.75</v>
      </c>
      <c r="Q49" s="168">
        <f>IFERROR((-VLOOKUP(LEFT($A49,4),'Cash Flow $s Yr1'!$B$12:$R$154,14,FALSE)-VLOOKUP(LEFT($A49,4),'Cash Flow $s Yr1'!$B$12:$R$154,15,FALSE)-VLOOKUP(LEFT($A49,4),'Cash Flow $s Yr1'!$B$12:$R$154,16,FALSE)-VLOOKUP(LEFT($A49,4),'Cash Flow $s Yr1'!$B$12:$R$154,17,FALSE)),0)</f>
        <v>-9573.75</v>
      </c>
      <c r="R49" s="287">
        <f t="shared" si="3"/>
        <v>-38295</v>
      </c>
    </row>
    <row r="50" spans="1:19" x14ac:dyDescent="0.15">
      <c r="A50" s="163" t="s">
        <v>1241</v>
      </c>
      <c r="B50" s="162" t="s">
        <v>1242</v>
      </c>
      <c r="C50" s="160" t="s">
        <v>868</v>
      </c>
      <c r="D50" s="160" t="s">
        <v>869</v>
      </c>
      <c r="E50" s="160" t="s">
        <v>870</v>
      </c>
      <c r="F50" s="168">
        <f>IFERROR((-VLOOKUP(LEFT($A50,4),'Cash Flow $s Yr1'!$B$12:$R$154,3,FALSE)),0)</f>
        <v>-78.435000000000002</v>
      </c>
      <c r="G50" s="168">
        <f>IFERROR((-VLOOKUP(LEFT($A50,4),'Cash Flow $s Yr1'!$B$12:$R$154,4,FALSE)),0)</f>
        <v>-78.435000000000002</v>
      </c>
      <c r="H50" s="168">
        <f>IFERROR((-VLOOKUP(LEFT($A50,4),'Cash Flow $s Yr1'!$B$12:$R$154,5,FALSE)),0)</f>
        <v>-78.435000000000002</v>
      </c>
      <c r="I50" s="168">
        <f>IFERROR((-VLOOKUP(LEFT($A50,4),'Cash Flow $s Yr1'!$B$12:$R$154,6,FALSE)),0)</f>
        <v>-78.435000000000002</v>
      </c>
      <c r="J50" s="168">
        <f>IFERROR((-VLOOKUP(LEFT($A50,4),'Cash Flow $s Yr1'!$B$12:$R$154,7,FALSE)),0)</f>
        <v>-78.435000000000002</v>
      </c>
      <c r="K50" s="168">
        <f>IFERROR((-VLOOKUP(LEFT($A50,4),'Cash Flow $s Yr1'!$B$12:$R$154,8,FALSE)),0)</f>
        <v>-78.435000000000002</v>
      </c>
      <c r="L50" s="168">
        <f>IFERROR((-VLOOKUP(LEFT($A50,4),'Cash Flow $s Yr1'!$B$12:$R$154,9,FALSE)),0)</f>
        <v>-78.435000000000002</v>
      </c>
      <c r="M50" s="168">
        <f>IFERROR((-VLOOKUP(LEFT($A50,4),'Cash Flow $s Yr1'!$B$12:$R$154,10,FALSE)),0)</f>
        <v>-78.435000000000002</v>
      </c>
      <c r="N50" s="168">
        <f>IFERROR((-VLOOKUP(LEFT($A50,4),'Cash Flow $s Yr1'!$B$12:$R$154,11,FALSE)),0)</f>
        <v>-79.38000000000001</v>
      </c>
      <c r="O50" s="168">
        <f>IFERROR((-VLOOKUP(LEFT($A50,4),'Cash Flow $s Yr1'!$B$12:$R$154,12,FALSE)),0)</f>
        <v>-79.38000000000001</v>
      </c>
      <c r="P50" s="168">
        <f>IFERROR((-VLOOKUP(LEFT($A50,4),'Cash Flow $s Yr1'!$B$12:$R$154,13,FALSE)),0)</f>
        <v>-79.38000000000001</v>
      </c>
      <c r="Q50" s="168">
        <f>IFERROR((-VLOOKUP(LEFT($A50,4),'Cash Flow $s Yr1'!$B$12:$R$154,14,FALSE)-VLOOKUP(LEFT($A50,4),'Cash Flow $s Yr1'!$B$12:$R$154,15,FALSE)-VLOOKUP(LEFT($A50,4),'Cash Flow $s Yr1'!$B$12:$R$154,16,FALSE)-VLOOKUP(LEFT($A50,4),'Cash Flow $s Yr1'!$B$12:$R$154,17,FALSE)),0)</f>
        <v>-79.38000000000001</v>
      </c>
      <c r="R50" s="287">
        <f t="shared" si="3"/>
        <v>-945</v>
      </c>
    </row>
    <row r="51" spans="1:19" x14ac:dyDescent="0.15">
      <c r="A51" s="163" t="s">
        <v>905</v>
      </c>
      <c r="B51" s="162" t="s">
        <v>1242</v>
      </c>
      <c r="C51" s="160" t="s">
        <v>868</v>
      </c>
      <c r="D51" s="160" t="s">
        <v>869</v>
      </c>
      <c r="E51" s="160" t="s">
        <v>870</v>
      </c>
      <c r="F51" s="168">
        <f>IFERROR((-VLOOKUP(LEFT($A51,4),'Cash Flow $s Yr1'!$B$12:$R$154,3,FALSE)),0)</f>
        <v>0</v>
      </c>
      <c r="G51" s="168">
        <f>IFERROR((-VLOOKUP(LEFT($A51,4),'Cash Flow $s Yr1'!$B$12:$R$154,4,FALSE)),0)</f>
        <v>0</v>
      </c>
      <c r="H51" s="168">
        <f>IFERROR((-VLOOKUP(LEFT($A51,4),'Cash Flow $s Yr1'!$B$12:$R$154,5,FALSE)),0)</f>
        <v>-5011.8</v>
      </c>
      <c r="I51" s="168">
        <f>IFERROR((-VLOOKUP(LEFT($A51,4),'Cash Flow $s Yr1'!$B$12:$R$154,6,FALSE)),0)</f>
        <v>-5011.8</v>
      </c>
      <c r="J51" s="168">
        <f>IFERROR((-VLOOKUP(LEFT($A51,4),'Cash Flow $s Yr1'!$B$12:$R$154,7,FALSE)),0)</f>
        <v>-5011.8</v>
      </c>
      <c r="K51" s="168">
        <f>IFERROR((-VLOOKUP(LEFT($A51,4),'Cash Flow $s Yr1'!$B$12:$R$154,8,FALSE)),0)</f>
        <v>-5011.8</v>
      </c>
      <c r="L51" s="168">
        <f>IFERROR((-VLOOKUP(LEFT($A51,4),'Cash Flow $s Yr1'!$B$12:$R$154,9,FALSE)),0)</f>
        <v>-5011.8</v>
      </c>
      <c r="M51" s="168">
        <f>IFERROR((-VLOOKUP(LEFT($A51,4),'Cash Flow $s Yr1'!$B$12:$R$154,10,FALSE)),0)</f>
        <v>-5011.8</v>
      </c>
      <c r="N51" s="168">
        <f>IFERROR((-VLOOKUP(LEFT($A51,4),'Cash Flow $s Yr1'!$B$12:$R$154,11,FALSE)),0)</f>
        <v>-5011.8</v>
      </c>
      <c r="O51" s="168">
        <f>IFERROR((-VLOOKUP(LEFT($A51,4),'Cash Flow $s Yr1'!$B$12:$R$154,12,FALSE)),0)</f>
        <v>-5011.8</v>
      </c>
      <c r="P51" s="168">
        <f>IFERROR((-VLOOKUP(LEFT($A51,4),'Cash Flow $s Yr1'!$B$12:$R$154,13,FALSE)),0)</f>
        <v>-5011.8</v>
      </c>
      <c r="Q51" s="168">
        <f>IFERROR((-VLOOKUP(LEFT($A51,4),'Cash Flow $s Yr1'!$B$12:$R$154,14,FALSE)-VLOOKUP(LEFT($A51,4),'Cash Flow $s Yr1'!$B$12:$R$154,15,FALSE)-VLOOKUP(LEFT($A51,4),'Cash Flow $s Yr1'!$B$12:$R$154,16,FALSE)-VLOOKUP(LEFT($A51,4),'Cash Flow $s Yr1'!$B$12:$R$154,17,FALSE)),0)</f>
        <v>-5011.8</v>
      </c>
      <c r="R51" s="287">
        <f t="shared" ref="R51" si="6">SUM(F51:Q51)</f>
        <v>-50118.000000000007</v>
      </c>
    </row>
    <row r="52" spans="1:19" x14ac:dyDescent="0.15">
      <c r="A52" s="164"/>
      <c r="R52" s="287">
        <f>SUM(R2:R51)</f>
        <v>-180934.32749449665</v>
      </c>
    </row>
    <row r="53" spans="1:19" x14ac:dyDescent="0.15">
      <c r="A53" s="164"/>
      <c r="S53" s="167"/>
    </row>
    <row r="54" spans="1:19" x14ac:dyDescent="0.15">
      <c r="A54" s="164"/>
    </row>
    <row r="55" spans="1:19" x14ac:dyDescent="0.15">
      <c r="A55" s="164"/>
    </row>
  </sheetData>
  <pageMargins left="0.75" right="0.75" top="1" bottom="1" header="0.5" footer="0.5"/>
  <pageSetup orientation="portrait"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249977111117893"/>
    <pageSetUpPr fitToPage="1"/>
  </sheetPr>
  <dimension ref="A1:X101"/>
  <sheetViews>
    <sheetView workbookViewId="0">
      <pane xSplit="3" ySplit="6" topLeftCell="D7" activePane="bottomRight" state="frozen"/>
      <selection activeCell="V6" sqref="V6"/>
      <selection pane="topRight" activeCell="V6" sqref="V6"/>
      <selection pane="bottomLeft" activeCell="V6" sqref="V6"/>
      <selection pane="bottomRight" activeCell="G20" sqref="G20"/>
    </sheetView>
  </sheetViews>
  <sheetFormatPr baseColWidth="10" defaultColWidth="8.83203125" defaultRowHeight="16" outlineLevelRow="1" x14ac:dyDescent="0.2"/>
  <cols>
    <col min="1" max="1" width="2.1640625" style="6" customWidth="1"/>
    <col min="2" max="2" width="6.6640625" style="7" bestFit="1" customWidth="1"/>
    <col min="3" max="3" width="19.1640625" style="283" customWidth="1"/>
    <col min="4" max="4" width="12.5" style="283" customWidth="1"/>
    <col min="5" max="5" width="8.83203125" style="283"/>
    <col min="6" max="6" width="8.83203125" style="7"/>
    <col min="7" max="8" width="14.5" style="7" bestFit="1" customWidth="1"/>
    <col min="9" max="9" width="11.5" style="7" bestFit="1" customWidth="1"/>
    <col min="10" max="10" width="11.5" style="7" customWidth="1"/>
    <col min="11" max="11" width="14.6640625" style="6" bestFit="1" customWidth="1"/>
    <col min="12" max="12" width="17.5" style="7" bestFit="1" customWidth="1"/>
    <col min="13" max="13" width="17" style="6" bestFit="1" customWidth="1"/>
    <col min="14" max="16" width="12.1640625" style="6" customWidth="1"/>
    <col min="17" max="17" width="12.5" style="7" customWidth="1"/>
    <col min="18" max="19" width="15.5" style="6" customWidth="1"/>
    <col min="20" max="20" width="19.5" style="6" customWidth="1"/>
    <col min="21" max="21" width="18.5" style="6" customWidth="1"/>
    <col min="22" max="22" width="19.6640625" style="6" customWidth="1"/>
    <col min="23" max="24" width="15.5" style="6" customWidth="1"/>
    <col min="25" max="16384" width="8.83203125" style="6"/>
  </cols>
  <sheetData>
    <row r="1" spans="1:24" ht="20" x14ac:dyDescent="0.2">
      <c r="A1" s="22" t="str">
        <f>'Student Info'!$A$1</f>
        <v>Three Rivers Charter School</v>
      </c>
    </row>
    <row r="2" spans="1:24" ht="18" x14ac:dyDescent="0.2">
      <c r="A2" s="21" t="s">
        <v>726</v>
      </c>
      <c r="G2" s="189">
        <v>0.03</v>
      </c>
      <c r="H2" s="190" t="s">
        <v>925</v>
      </c>
      <c r="M2" s="8">
        <v>0.1258</v>
      </c>
      <c r="N2" s="348">
        <f>+'Employee Input 15-16'!N2</f>
        <v>0.11847000000000001</v>
      </c>
      <c r="O2" s="348">
        <f>+'Employee Input 15-16'!O2</f>
        <v>6.25E-2</v>
      </c>
      <c r="P2" s="348">
        <f>+'Employee Input 15-16'!P2</f>
        <v>1.4500000000000001E-2</v>
      </c>
      <c r="Q2" s="349">
        <f>+'Employee Input 15-16'!Q2</f>
        <v>500</v>
      </c>
      <c r="R2" s="348"/>
      <c r="S2" s="348">
        <f>+'Employee Input 15-16'!S2</f>
        <v>0.02</v>
      </c>
      <c r="T2" s="348">
        <f>+'Employee Input 15-16'!T2</f>
        <v>1.2E-2</v>
      </c>
      <c r="V2" s="12">
        <f>(0.08*$K2/1000)+(0.025*$K2/1000)+(0.14%*$K2)+(0.05*$K2/10)</f>
        <v>0</v>
      </c>
    </row>
    <row r="3" spans="1:24" ht="18" x14ac:dyDescent="0.2">
      <c r="A3" s="21" t="str">
        <f>'Student Info'!E7</f>
        <v>2016-17</v>
      </c>
      <c r="M3" s="9" t="s">
        <v>562</v>
      </c>
      <c r="N3" s="9" t="s">
        <v>563</v>
      </c>
      <c r="O3" s="9" t="s">
        <v>931</v>
      </c>
      <c r="P3" s="9" t="s">
        <v>672</v>
      </c>
      <c r="Q3" s="9" t="s">
        <v>566</v>
      </c>
      <c r="R3" s="9"/>
      <c r="S3" s="9" t="s">
        <v>670</v>
      </c>
      <c r="T3" s="9" t="s">
        <v>671</v>
      </c>
      <c r="U3" s="9"/>
      <c r="V3" s="9" t="s">
        <v>938</v>
      </c>
    </row>
    <row r="4" spans="1:24" ht="27" customHeight="1" x14ac:dyDescent="0.2"/>
    <row r="5" spans="1:24" x14ac:dyDescent="0.2">
      <c r="B5" s="13" t="s">
        <v>0</v>
      </c>
      <c r="H5" s="17" t="s">
        <v>677</v>
      </c>
      <c r="I5" s="13" t="s">
        <v>743</v>
      </c>
      <c r="J5" s="18"/>
      <c r="K5" s="17" t="s">
        <v>675</v>
      </c>
      <c r="L5" s="13" t="s">
        <v>730</v>
      </c>
      <c r="M5" s="44" t="s">
        <v>30</v>
      </c>
      <c r="N5" s="44" t="s">
        <v>38</v>
      </c>
      <c r="O5" s="44" t="s">
        <v>927</v>
      </c>
      <c r="P5" s="44" t="s">
        <v>929</v>
      </c>
      <c r="Q5" s="45" t="s">
        <v>564</v>
      </c>
      <c r="R5" s="44" t="s">
        <v>718</v>
      </c>
      <c r="S5" s="44" t="s">
        <v>719</v>
      </c>
      <c r="T5" s="44" t="s">
        <v>720</v>
      </c>
      <c r="U5" s="44" t="s">
        <v>936</v>
      </c>
      <c r="V5" s="44" t="s">
        <v>935</v>
      </c>
      <c r="W5" s="19" t="s">
        <v>673</v>
      </c>
      <c r="X5" s="17" t="s">
        <v>677</v>
      </c>
    </row>
    <row r="6" spans="1:24" ht="17" thickBot="1" x14ac:dyDescent="0.25">
      <c r="A6" s="23"/>
      <c r="B6" s="24"/>
      <c r="C6" s="25" t="s">
        <v>1</v>
      </c>
      <c r="D6" s="25" t="s">
        <v>2</v>
      </c>
      <c r="E6" s="25" t="s">
        <v>4</v>
      </c>
      <c r="F6" s="24" t="s">
        <v>3</v>
      </c>
      <c r="G6" s="24" t="s">
        <v>5</v>
      </c>
      <c r="H6" s="26" t="s">
        <v>740</v>
      </c>
      <c r="I6" s="24" t="s">
        <v>744</v>
      </c>
      <c r="J6" s="24" t="s">
        <v>742</v>
      </c>
      <c r="K6" s="26" t="s">
        <v>676</v>
      </c>
      <c r="L6" s="24" t="s">
        <v>731</v>
      </c>
      <c r="M6" s="27" t="s">
        <v>6</v>
      </c>
      <c r="N6" s="27" t="s">
        <v>7</v>
      </c>
      <c r="O6" s="200" t="s">
        <v>928</v>
      </c>
      <c r="P6" s="200" t="s">
        <v>930</v>
      </c>
      <c r="Q6" s="25" t="s">
        <v>565</v>
      </c>
      <c r="R6" s="27" t="s">
        <v>932</v>
      </c>
      <c r="S6" s="200" t="s">
        <v>933</v>
      </c>
      <c r="T6" s="200" t="s">
        <v>934</v>
      </c>
      <c r="U6" s="27" t="s">
        <v>937</v>
      </c>
      <c r="V6" s="200" t="s">
        <v>940</v>
      </c>
      <c r="W6" s="28" t="s">
        <v>674</v>
      </c>
      <c r="X6" s="26" t="s">
        <v>676</v>
      </c>
    </row>
    <row r="7" spans="1:24" x14ac:dyDescent="0.2">
      <c r="B7" s="14">
        <f>+'Employee Input 15-16'!B7</f>
        <v>1100</v>
      </c>
      <c r="C7" s="15" t="str">
        <f>+'Employee Input 15-16'!C7</f>
        <v>Kathleen Kasperson</v>
      </c>
      <c r="D7" s="15" t="str">
        <f>+'Employee Input 15-16'!D7</f>
        <v>Teacher</v>
      </c>
      <c r="E7" s="15" t="str">
        <f>+'Employee Input 15-16'!E7</f>
        <v>Education</v>
      </c>
      <c r="F7" s="331">
        <f>+'Employee Input 15-16'!F7</f>
        <v>1</v>
      </c>
      <c r="G7" s="300">
        <v>50155</v>
      </c>
      <c r="H7" s="10">
        <f t="shared" ref="H7:H25" si="0">+F7*G7</f>
        <v>50155</v>
      </c>
      <c r="I7" s="11">
        <f>+'Employee Input 15-16'!I7</f>
        <v>0</v>
      </c>
      <c r="J7" s="11">
        <f>+'Employee Input 15-16'!J7</f>
        <v>0</v>
      </c>
      <c r="K7" s="10">
        <f t="shared" ref="K7:K25" si="1">SUM(H7:J7)</f>
        <v>50155</v>
      </c>
      <c r="L7" s="16" t="str">
        <f>+'Employee Input 15-16'!L7</f>
        <v>STRS</v>
      </c>
      <c r="M7" s="10">
        <f t="shared" ref="M7:M25" si="2">IF($L7="STRS",$M$2*$K7,"")</f>
        <v>6309.4989999999998</v>
      </c>
      <c r="N7" s="10" t="str">
        <f t="shared" ref="N7:N25" si="3">IF($L7="PERS",$N$2*$K7,"")</f>
        <v/>
      </c>
      <c r="O7" s="10" t="str">
        <f t="shared" ref="O7:O25" si="4">IF($L7="STRS","",$O$2*$K7)</f>
        <v/>
      </c>
      <c r="P7" s="10">
        <f t="shared" ref="P7:P25" si="5">$P$2*K7</f>
        <v>727.24750000000006</v>
      </c>
      <c r="Q7" s="351">
        <f t="shared" ref="Q7:Q25" si="6">+$Q$2</f>
        <v>500</v>
      </c>
      <c r="R7" s="12">
        <v>12900</v>
      </c>
      <c r="S7" s="12">
        <f t="shared" ref="S7:S25" si="7">$S$2*K7</f>
        <v>1003.1</v>
      </c>
      <c r="T7" s="12">
        <f t="shared" ref="T7:T25" si="8">$T$2*$K7</f>
        <v>601.86</v>
      </c>
      <c r="U7" s="12"/>
      <c r="V7" s="12"/>
      <c r="W7" s="12">
        <f t="shared" ref="W7:W25" si="9">SUM(R7:V7,M7:P7)</f>
        <v>21541.706500000004</v>
      </c>
      <c r="X7" s="12">
        <f t="shared" ref="X7:X25" si="10">W7+K7</f>
        <v>71696.7065</v>
      </c>
    </row>
    <row r="8" spans="1:24" x14ac:dyDescent="0.2">
      <c r="B8" s="14">
        <f>+'Employee Input 15-16'!B8</f>
        <v>1100</v>
      </c>
      <c r="C8" s="15" t="str">
        <f>+'Employee Input 15-16'!C8</f>
        <v>Natalie Shoptaw</v>
      </c>
      <c r="D8" s="15" t="str">
        <f>+'Employee Input 15-16'!D8</f>
        <v>Teacher</v>
      </c>
      <c r="E8" s="15" t="str">
        <f>+'Employee Input 15-16'!E8</f>
        <v>Education</v>
      </c>
      <c r="F8" s="331">
        <f>+'Employee Input 15-16'!F8</f>
        <v>1</v>
      </c>
      <c r="G8" s="300">
        <v>43264</v>
      </c>
      <c r="H8" s="10">
        <f t="shared" si="0"/>
        <v>43264</v>
      </c>
      <c r="I8" s="11">
        <f>+'Employee Input 15-16'!I8</f>
        <v>1500</v>
      </c>
      <c r="J8" s="11">
        <f>+'Employee Input 15-16'!J8</f>
        <v>0</v>
      </c>
      <c r="K8" s="10">
        <f t="shared" si="1"/>
        <v>44764</v>
      </c>
      <c r="L8" s="16" t="str">
        <f>+'Employee Input 15-16'!L8</f>
        <v>STRS</v>
      </c>
      <c r="M8" s="10">
        <f t="shared" si="2"/>
        <v>5631.3112000000001</v>
      </c>
      <c r="N8" s="10" t="str">
        <f t="shared" si="3"/>
        <v/>
      </c>
      <c r="O8" s="10" t="str">
        <f t="shared" si="4"/>
        <v/>
      </c>
      <c r="P8" s="10">
        <f t="shared" si="5"/>
        <v>649.07800000000009</v>
      </c>
      <c r="Q8" s="351">
        <f t="shared" si="6"/>
        <v>500</v>
      </c>
      <c r="R8" s="12">
        <v>12900</v>
      </c>
      <c r="S8" s="12">
        <f t="shared" si="7"/>
        <v>895.28</v>
      </c>
      <c r="T8" s="12">
        <f t="shared" si="8"/>
        <v>537.16800000000001</v>
      </c>
      <c r="U8" s="12"/>
      <c r="V8" s="12"/>
      <c r="W8" s="12">
        <f t="shared" si="9"/>
        <v>20612.837200000002</v>
      </c>
      <c r="X8" s="12">
        <f t="shared" si="10"/>
        <v>65376.837200000002</v>
      </c>
    </row>
    <row r="9" spans="1:24" x14ac:dyDescent="0.2">
      <c r="B9" s="14">
        <f>+'Employee Input 15-16'!B9</f>
        <v>1100</v>
      </c>
      <c r="C9" s="15" t="str">
        <f>+'Employee Input 15-16'!C9</f>
        <v>Samantha Walz</v>
      </c>
      <c r="D9" s="15" t="str">
        <f>+'Employee Input 15-16'!D9</f>
        <v>Teacher</v>
      </c>
      <c r="E9" s="15" t="str">
        <f>+'Employee Input 15-16'!E9</f>
        <v>Education</v>
      </c>
      <c r="F9" s="331">
        <f>+'Employee Input 15-16'!F9</f>
        <v>1</v>
      </c>
      <c r="G9" s="300">
        <v>48694</v>
      </c>
      <c r="H9" s="10">
        <f t="shared" si="0"/>
        <v>48694</v>
      </c>
      <c r="I9" s="11">
        <f>+'Employee Input 15-16'!I9</f>
        <v>0</v>
      </c>
      <c r="J9" s="11">
        <f>+'Employee Input 15-16'!J9</f>
        <v>0</v>
      </c>
      <c r="K9" s="10">
        <f t="shared" si="1"/>
        <v>48694</v>
      </c>
      <c r="L9" s="16" t="str">
        <f>+'Employee Input 15-16'!L9</f>
        <v>STRS</v>
      </c>
      <c r="M9" s="10">
        <f t="shared" si="2"/>
        <v>6125.7051999999994</v>
      </c>
      <c r="N9" s="10" t="str">
        <f t="shared" si="3"/>
        <v/>
      </c>
      <c r="O9" s="10" t="str">
        <f t="shared" si="4"/>
        <v/>
      </c>
      <c r="P9" s="10">
        <f t="shared" si="5"/>
        <v>706.06299999999999</v>
      </c>
      <c r="Q9" s="351">
        <f t="shared" si="6"/>
        <v>500</v>
      </c>
      <c r="R9" s="12">
        <v>10500</v>
      </c>
      <c r="S9" s="12">
        <f t="shared" si="7"/>
        <v>973.88</v>
      </c>
      <c r="T9" s="12">
        <f t="shared" si="8"/>
        <v>584.32799999999997</v>
      </c>
      <c r="U9" s="12"/>
      <c r="V9" s="12"/>
      <c r="W9" s="12">
        <f t="shared" si="9"/>
        <v>18889.976199999997</v>
      </c>
      <c r="X9" s="12">
        <f t="shared" si="10"/>
        <v>67583.976200000005</v>
      </c>
    </row>
    <row r="10" spans="1:24" x14ac:dyDescent="0.2">
      <c r="B10" s="14">
        <f>+'Employee Input 15-16'!B10</f>
        <v>1100</v>
      </c>
      <c r="C10" s="15" t="str">
        <f>+'Employee Input 15-16'!C10</f>
        <v>Maragret Normoyle</v>
      </c>
      <c r="D10" s="15" t="str">
        <f>+'Employee Input 15-16'!D10</f>
        <v>Teacher</v>
      </c>
      <c r="E10" s="15" t="str">
        <f>+'Employee Input 15-16'!E10</f>
        <v>Education</v>
      </c>
      <c r="F10" s="331">
        <f>+'Employee Input 15-16'!F10</f>
        <v>1</v>
      </c>
      <c r="G10" s="300">
        <v>45899</v>
      </c>
      <c r="H10" s="10">
        <f t="shared" si="0"/>
        <v>45899</v>
      </c>
      <c r="I10" s="11">
        <f>+'Employee Input 15-16'!I10</f>
        <v>0</v>
      </c>
      <c r="J10" s="11">
        <f>+'Employee Input 15-16'!J10</f>
        <v>0</v>
      </c>
      <c r="K10" s="10">
        <f t="shared" si="1"/>
        <v>45899</v>
      </c>
      <c r="L10" s="16" t="str">
        <f>+'Employee Input 15-16'!L10</f>
        <v>STRS</v>
      </c>
      <c r="M10" s="10">
        <f t="shared" si="2"/>
        <v>5774.0941999999995</v>
      </c>
      <c r="N10" s="10" t="str">
        <f t="shared" si="3"/>
        <v/>
      </c>
      <c r="O10" s="10" t="str">
        <f t="shared" si="4"/>
        <v/>
      </c>
      <c r="P10" s="10">
        <f t="shared" si="5"/>
        <v>665.53550000000007</v>
      </c>
      <c r="Q10" s="351">
        <f t="shared" si="6"/>
        <v>500</v>
      </c>
      <c r="R10" s="12">
        <v>12900</v>
      </c>
      <c r="S10" s="12">
        <f t="shared" si="7"/>
        <v>917.98</v>
      </c>
      <c r="T10" s="12">
        <f t="shared" si="8"/>
        <v>550.78800000000001</v>
      </c>
      <c r="U10" s="12"/>
      <c r="V10" s="12"/>
      <c r="W10" s="12">
        <f t="shared" si="9"/>
        <v>20808.397700000001</v>
      </c>
      <c r="X10" s="12">
        <f t="shared" si="10"/>
        <v>66707.397700000001</v>
      </c>
    </row>
    <row r="11" spans="1:24" x14ac:dyDescent="0.2">
      <c r="B11" s="14">
        <f>+'Employee Input 15-16'!B11</f>
        <v>1100</v>
      </c>
      <c r="C11" s="15" t="str">
        <f>+'Employee Input 15-16'!C11</f>
        <v>Kim Morgan</v>
      </c>
      <c r="D11" s="15" t="str">
        <f>+'Employee Input 15-16'!D11</f>
        <v>Teacher</v>
      </c>
      <c r="E11" s="15" t="str">
        <f>+'Employee Input 15-16'!E11</f>
        <v>Education</v>
      </c>
      <c r="F11" s="331">
        <f>+'Employee Input 15-16'!F11</f>
        <v>1</v>
      </c>
      <c r="G11" s="300">
        <v>48694</v>
      </c>
      <c r="H11" s="10">
        <f t="shared" si="0"/>
        <v>48694</v>
      </c>
      <c r="I11" s="11">
        <f>+'Employee Input 15-16'!I11</f>
        <v>0</v>
      </c>
      <c r="J11" s="11">
        <f>+'Employee Input 15-16'!J11</f>
        <v>0</v>
      </c>
      <c r="K11" s="10">
        <f t="shared" si="1"/>
        <v>48694</v>
      </c>
      <c r="L11" s="16" t="str">
        <f>+'Employee Input 15-16'!L11</f>
        <v>STRS</v>
      </c>
      <c r="M11" s="10">
        <f t="shared" si="2"/>
        <v>6125.7051999999994</v>
      </c>
      <c r="N11" s="10" t="str">
        <f t="shared" si="3"/>
        <v/>
      </c>
      <c r="O11" s="10" t="str">
        <f t="shared" si="4"/>
        <v/>
      </c>
      <c r="P11" s="10">
        <f t="shared" si="5"/>
        <v>706.06299999999999</v>
      </c>
      <c r="Q11" s="351">
        <f t="shared" si="6"/>
        <v>500</v>
      </c>
      <c r="R11" s="12">
        <v>12900</v>
      </c>
      <c r="S11" s="12">
        <f t="shared" si="7"/>
        <v>973.88</v>
      </c>
      <c r="T11" s="12">
        <f t="shared" si="8"/>
        <v>584.32799999999997</v>
      </c>
      <c r="U11" s="12"/>
      <c r="V11" s="12"/>
      <c r="W11" s="12">
        <f t="shared" si="9"/>
        <v>21289.976199999997</v>
      </c>
      <c r="X11" s="12">
        <f t="shared" si="10"/>
        <v>69983.976200000005</v>
      </c>
    </row>
    <row r="12" spans="1:24" x14ac:dyDescent="0.2">
      <c r="B12" s="14">
        <v>1120</v>
      </c>
      <c r="C12" s="15" t="s">
        <v>1261</v>
      </c>
      <c r="D12" s="15">
        <f>+'Employee Input 15-16'!D25</f>
        <v>0</v>
      </c>
      <c r="E12" s="15" t="s">
        <v>1201</v>
      </c>
      <c r="F12" s="331">
        <v>1</v>
      </c>
      <c r="G12" s="300">
        <v>1600</v>
      </c>
      <c r="H12" s="10">
        <f t="shared" si="0"/>
        <v>1600</v>
      </c>
      <c r="I12" s="11">
        <f>+'Employee Input 15-16'!I25</f>
        <v>0</v>
      </c>
      <c r="J12" s="11">
        <f>+'Employee Input 15-16'!J25</f>
        <v>0</v>
      </c>
      <c r="K12" s="10">
        <f t="shared" si="1"/>
        <v>1600</v>
      </c>
      <c r="L12" s="16" t="s">
        <v>1199</v>
      </c>
      <c r="M12" s="10">
        <f t="shared" si="2"/>
        <v>201.28</v>
      </c>
      <c r="N12" s="10" t="str">
        <f t="shared" si="3"/>
        <v/>
      </c>
      <c r="O12" s="10" t="str">
        <f t="shared" si="4"/>
        <v/>
      </c>
      <c r="P12" s="10">
        <f t="shared" si="5"/>
        <v>23.200000000000003</v>
      </c>
      <c r="Q12" s="351">
        <f t="shared" si="6"/>
        <v>500</v>
      </c>
      <c r="R12" s="12">
        <f>+'Employee Input 15-16'!R25</f>
        <v>0</v>
      </c>
      <c r="S12" s="12">
        <f t="shared" si="7"/>
        <v>32</v>
      </c>
      <c r="T12" s="12">
        <f t="shared" si="8"/>
        <v>19.2</v>
      </c>
      <c r="U12" s="12"/>
      <c r="V12" s="12"/>
      <c r="W12" s="12">
        <f t="shared" si="9"/>
        <v>275.68</v>
      </c>
      <c r="X12" s="12">
        <f t="shared" si="10"/>
        <v>1875.68</v>
      </c>
    </row>
    <row r="13" spans="1:24" x14ac:dyDescent="0.2">
      <c r="B13" s="14">
        <f>+'Employee Input 15-16'!B12</f>
        <v>1300</v>
      </c>
      <c r="C13" s="15" t="str">
        <f>+'Employee Input 15-16'!C12</f>
        <v>Roger Coy</v>
      </c>
      <c r="D13" s="15" t="str">
        <f>+'Employee Input 15-16'!D12</f>
        <v>School Director</v>
      </c>
      <c r="E13" s="15" t="str">
        <f>+'Employee Input 15-16'!E12</f>
        <v>Support</v>
      </c>
      <c r="F13" s="331">
        <f>+'Employee Input 15-16'!F12</f>
        <v>1</v>
      </c>
      <c r="G13" s="300">
        <v>65000</v>
      </c>
      <c r="H13" s="10">
        <f t="shared" si="0"/>
        <v>65000</v>
      </c>
      <c r="I13" s="11">
        <f>+'Employee Input 15-16'!I12</f>
        <v>1500</v>
      </c>
      <c r="J13" s="11">
        <f>+'Employee Input 15-16'!J12</f>
        <v>0</v>
      </c>
      <c r="K13" s="10">
        <f t="shared" si="1"/>
        <v>66500</v>
      </c>
      <c r="L13" s="16" t="str">
        <f>+'Employee Input 15-16'!L12</f>
        <v>STRS</v>
      </c>
      <c r="M13" s="10">
        <f t="shared" si="2"/>
        <v>8365.6999999999989</v>
      </c>
      <c r="N13" s="10" t="str">
        <f t="shared" si="3"/>
        <v/>
      </c>
      <c r="O13" s="10" t="str">
        <f t="shared" si="4"/>
        <v/>
      </c>
      <c r="P13" s="10">
        <f t="shared" si="5"/>
        <v>964.25</v>
      </c>
      <c r="Q13" s="351">
        <f t="shared" si="6"/>
        <v>500</v>
      </c>
      <c r="R13" s="12">
        <v>10500</v>
      </c>
      <c r="S13" s="12">
        <f t="shared" si="7"/>
        <v>1330</v>
      </c>
      <c r="T13" s="12">
        <f t="shared" si="8"/>
        <v>798</v>
      </c>
      <c r="U13" s="12"/>
      <c r="V13" s="12"/>
      <c r="W13" s="12">
        <f t="shared" si="9"/>
        <v>21957.949999999997</v>
      </c>
      <c r="X13" s="12">
        <f t="shared" si="10"/>
        <v>88457.95</v>
      </c>
    </row>
    <row r="14" spans="1:24" x14ac:dyDescent="0.2">
      <c r="B14" s="14">
        <f>+'Employee Input 15-16'!B13</f>
        <v>2100</v>
      </c>
      <c r="C14" s="15" t="s">
        <v>1251</v>
      </c>
      <c r="D14" s="15" t="str">
        <f>+'Employee Input 15-16'!D13</f>
        <v>Instructional Aide #1</v>
      </c>
      <c r="E14" s="15" t="str">
        <f>+'Employee Input 15-16'!E13</f>
        <v>Education</v>
      </c>
      <c r="F14" s="331">
        <f>+'Employee Input 15-16'!F13</f>
        <v>1</v>
      </c>
      <c r="G14" s="300">
        <v>14180</v>
      </c>
      <c r="H14" s="10">
        <f t="shared" si="0"/>
        <v>14180</v>
      </c>
      <c r="I14" s="11">
        <f>+'Employee Input 15-16'!I13</f>
        <v>0</v>
      </c>
      <c r="J14" s="11">
        <f>+'Employee Input 15-16'!J13</f>
        <v>0</v>
      </c>
      <c r="K14" s="10">
        <f t="shared" si="1"/>
        <v>14180</v>
      </c>
      <c r="L14" s="16">
        <f>+'Employee Input 15-16'!L13</f>
        <v>0</v>
      </c>
      <c r="M14" s="10" t="str">
        <f t="shared" si="2"/>
        <v/>
      </c>
      <c r="N14" s="10" t="str">
        <f t="shared" si="3"/>
        <v/>
      </c>
      <c r="O14" s="10">
        <f t="shared" si="4"/>
        <v>886.25</v>
      </c>
      <c r="P14" s="10">
        <f t="shared" si="5"/>
        <v>205.61</v>
      </c>
      <c r="Q14" s="351">
        <f t="shared" si="6"/>
        <v>500</v>
      </c>
      <c r="R14" s="12">
        <f>+'Employee Input 15-16'!R13</f>
        <v>0</v>
      </c>
      <c r="S14" s="12">
        <f t="shared" si="7"/>
        <v>283.60000000000002</v>
      </c>
      <c r="T14" s="12">
        <f t="shared" si="8"/>
        <v>170.16</v>
      </c>
      <c r="U14" s="12"/>
      <c r="V14" s="12"/>
      <c r="W14" s="12">
        <f t="shared" si="9"/>
        <v>1545.62</v>
      </c>
      <c r="X14" s="12">
        <f t="shared" si="10"/>
        <v>15725.619999999999</v>
      </c>
    </row>
    <row r="15" spans="1:24" x14ac:dyDescent="0.2">
      <c r="B15" s="14">
        <f>+'Employee Input 15-16'!B14</f>
        <v>2100</v>
      </c>
      <c r="C15" s="15" t="s">
        <v>1252</v>
      </c>
      <c r="D15" s="15" t="str">
        <f>+'Employee Input 15-16'!D14</f>
        <v>Instructional Aide #2</v>
      </c>
      <c r="E15" s="15" t="str">
        <f>+'Employee Input 15-16'!E14</f>
        <v>Education</v>
      </c>
      <c r="F15" s="331">
        <f>+'Employee Input 15-16'!F14</f>
        <v>1</v>
      </c>
      <c r="G15" s="300">
        <v>14180</v>
      </c>
      <c r="H15" s="10">
        <f t="shared" si="0"/>
        <v>14180</v>
      </c>
      <c r="I15" s="11">
        <f>+'Employee Input 15-16'!I14</f>
        <v>0</v>
      </c>
      <c r="J15" s="11">
        <f>+'Employee Input 15-16'!J14</f>
        <v>0</v>
      </c>
      <c r="K15" s="10">
        <f t="shared" si="1"/>
        <v>14180</v>
      </c>
      <c r="L15" s="16">
        <f>+'Employee Input 15-16'!L14</f>
        <v>0</v>
      </c>
      <c r="M15" s="10" t="str">
        <f t="shared" si="2"/>
        <v/>
      </c>
      <c r="N15" s="10" t="str">
        <f t="shared" si="3"/>
        <v/>
      </c>
      <c r="O15" s="10">
        <f t="shared" si="4"/>
        <v>886.25</v>
      </c>
      <c r="P15" s="10">
        <f t="shared" si="5"/>
        <v>205.61</v>
      </c>
      <c r="Q15" s="351">
        <f t="shared" si="6"/>
        <v>500</v>
      </c>
      <c r="R15" s="12">
        <f>+'Employee Input 15-16'!R14</f>
        <v>0</v>
      </c>
      <c r="S15" s="12">
        <f t="shared" si="7"/>
        <v>283.60000000000002</v>
      </c>
      <c r="T15" s="12">
        <f t="shared" si="8"/>
        <v>170.16</v>
      </c>
      <c r="U15" s="12"/>
      <c r="V15" s="12"/>
      <c r="W15" s="12">
        <f t="shared" si="9"/>
        <v>1545.62</v>
      </c>
      <c r="X15" s="12">
        <f t="shared" si="10"/>
        <v>15725.619999999999</v>
      </c>
    </row>
    <row r="16" spans="1:24" x14ac:dyDescent="0.2">
      <c r="B16" s="14">
        <f>+'Employee Input 15-16'!B16</f>
        <v>2100</v>
      </c>
      <c r="C16" s="15" t="s">
        <v>1253</v>
      </c>
      <c r="D16" s="15" t="str">
        <f>+'Employee Input 15-16'!D16</f>
        <v>Instructional Aide</v>
      </c>
      <c r="E16" s="15" t="str">
        <f>+'Employee Input 15-16'!E16</f>
        <v>Education</v>
      </c>
      <c r="F16" s="331">
        <f>+'Employee Input 15-16'!F16</f>
        <v>1</v>
      </c>
      <c r="G16" s="300">
        <v>14180</v>
      </c>
      <c r="H16" s="10">
        <f t="shared" si="0"/>
        <v>14180</v>
      </c>
      <c r="I16" s="11">
        <f>+'Employee Input 15-16'!I16</f>
        <v>0</v>
      </c>
      <c r="J16" s="11">
        <f>+'Employee Input 15-16'!J16</f>
        <v>0</v>
      </c>
      <c r="K16" s="10">
        <f t="shared" si="1"/>
        <v>14180</v>
      </c>
      <c r="L16" s="16">
        <f>+'Employee Input 15-16'!L16</f>
        <v>0</v>
      </c>
      <c r="M16" s="10" t="str">
        <f t="shared" si="2"/>
        <v/>
      </c>
      <c r="N16" s="10" t="str">
        <f t="shared" si="3"/>
        <v/>
      </c>
      <c r="O16" s="10">
        <f t="shared" si="4"/>
        <v>886.25</v>
      </c>
      <c r="P16" s="10">
        <f t="shared" si="5"/>
        <v>205.61</v>
      </c>
      <c r="Q16" s="351">
        <f t="shared" si="6"/>
        <v>500</v>
      </c>
      <c r="R16" s="12">
        <f>+'Employee Input 15-16'!R16</f>
        <v>0</v>
      </c>
      <c r="S16" s="12">
        <f t="shared" si="7"/>
        <v>283.60000000000002</v>
      </c>
      <c r="T16" s="12">
        <f t="shared" si="8"/>
        <v>170.16</v>
      </c>
      <c r="U16" s="12"/>
      <c r="V16" s="12"/>
      <c r="W16" s="12">
        <f t="shared" si="9"/>
        <v>1545.62</v>
      </c>
      <c r="X16" s="12">
        <f t="shared" si="10"/>
        <v>15725.619999999999</v>
      </c>
    </row>
    <row r="17" spans="2:24" x14ac:dyDescent="0.2">
      <c r="B17" s="14">
        <f>+'Employee Input 15-16'!B17</f>
        <v>2100</v>
      </c>
      <c r="C17" s="15" t="str">
        <f>+'Employee Input 15-16'!C17</f>
        <v>Sarah Haye</v>
      </c>
      <c r="D17" s="15" t="str">
        <f>+'Employee Input 15-16'!D17</f>
        <v>Instructional Aide</v>
      </c>
      <c r="E17" s="15" t="str">
        <f>+'Employee Input 15-16'!E17</f>
        <v>Education</v>
      </c>
      <c r="F17" s="331">
        <f>+'Employee Input 15-16'!F17</f>
        <v>1</v>
      </c>
      <c r="G17" s="300">
        <v>14180</v>
      </c>
      <c r="H17" s="10">
        <f t="shared" si="0"/>
        <v>14180</v>
      </c>
      <c r="I17" s="11">
        <f>+'Employee Input 15-16'!I17</f>
        <v>0</v>
      </c>
      <c r="J17" s="11">
        <f>+'Employee Input 15-16'!J17</f>
        <v>0</v>
      </c>
      <c r="K17" s="10">
        <f t="shared" si="1"/>
        <v>14180</v>
      </c>
      <c r="L17" s="16">
        <f>+'Employee Input 15-16'!L17</f>
        <v>0</v>
      </c>
      <c r="M17" s="10" t="str">
        <f t="shared" si="2"/>
        <v/>
      </c>
      <c r="N17" s="10" t="str">
        <f t="shared" si="3"/>
        <v/>
      </c>
      <c r="O17" s="10">
        <f t="shared" si="4"/>
        <v>886.25</v>
      </c>
      <c r="P17" s="10">
        <f t="shared" si="5"/>
        <v>205.61</v>
      </c>
      <c r="Q17" s="351">
        <f t="shared" si="6"/>
        <v>500</v>
      </c>
      <c r="R17" s="12">
        <f>+'Employee Input 15-16'!R17</f>
        <v>0</v>
      </c>
      <c r="S17" s="12">
        <f t="shared" si="7"/>
        <v>283.60000000000002</v>
      </c>
      <c r="T17" s="12">
        <f t="shared" si="8"/>
        <v>170.16</v>
      </c>
      <c r="U17" s="12"/>
      <c r="V17" s="12"/>
      <c r="W17" s="12">
        <f t="shared" si="9"/>
        <v>1545.62</v>
      </c>
      <c r="X17" s="12">
        <f t="shared" si="10"/>
        <v>15725.619999999999</v>
      </c>
    </row>
    <row r="18" spans="2:24" x14ac:dyDescent="0.2">
      <c r="B18" s="14">
        <f>+'Employee Input 15-16'!B18</f>
        <v>2100</v>
      </c>
      <c r="C18" s="15" t="s">
        <v>1254</v>
      </c>
      <c r="D18" s="15" t="s">
        <v>1235</v>
      </c>
      <c r="E18" s="15" t="str">
        <f>+'Employee Input 15-16'!E18</f>
        <v>Education</v>
      </c>
      <c r="F18" s="331">
        <f>+'Employee Input 15-16'!F18</f>
        <v>1</v>
      </c>
      <c r="G18" s="300">
        <v>10000</v>
      </c>
      <c r="H18" s="10">
        <f t="shared" si="0"/>
        <v>10000</v>
      </c>
      <c r="I18" s="11">
        <f>+'Employee Input 15-16'!I18</f>
        <v>0</v>
      </c>
      <c r="J18" s="11">
        <f>+'Employee Input 15-16'!J18</f>
        <v>0</v>
      </c>
      <c r="K18" s="10">
        <f t="shared" si="1"/>
        <v>10000</v>
      </c>
      <c r="L18" s="16">
        <f>+'Employee Input 15-16'!L18</f>
        <v>0</v>
      </c>
      <c r="M18" s="10" t="str">
        <f t="shared" si="2"/>
        <v/>
      </c>
      <c r="N18" s="10" t="str">
        <f t="shared" si="3"/>
        <v/>
      </c>
      <c r="O18" s="10">
        <f t="shared" si="4"/>
        <v>625</v>
      </c>
      <c r="P18" s="10">
        <f t="shared" si="5"/>
        <v>145</v>
      </c>
      <c r="Q18" s="351">
        <f t="shared" si="6"/>
        <v>500</v>
      </c>
      <c r="R18" s="12">
        <f>+'Employee Input 15-16'!R18</f>
        <v>0</v>
      </c>
      <c r="S18" s="12">
        <f t="shared" si="7"/>
        <v>200</v>
      </c>
      <c r="T18" s="12">
        <f t="shared" si="8"/>
        <v>120</v>
      </c>
      <c r="U18" s="12"/>
      <c r="V18" s="12"/>
      <c r="W18" s="12">
        <f t="shared" si="9"/>
        <v>1090</v>
      </c>
      <c r="X18" s="12">
        <f t="shared" si="10"/>
        <v>11090</v>
      </c>
    </row>
    <row r="19" spans="2:24" x14ac:dyDescent="0.2">
      <c r="B19" s="14">
        <v>2100</v>
      </c>
      <c r="C19" s="15" t="s">
        <v>1255</v>
      </c>
      <c r="D19" s="15" t="s">
        <v>1235</v>
      </c>
      <c r="E19" s="15" t="s">
        <v>1201</v>
      </c>
      <c r="F19" s="331">
        <v>1</v>
      </c>
      <c r="G19" s="300">
        <v>5000</v>
      </c>
      <c r="H19" s="10">
        <f t="shared" si="0"/>
        <v>5000</v>
      </c>
      <c r="I19" s="11">
        <f>+'Employee Input 15-16'!I19</f>
        <v>0</v>
      </c>
      <c r="J19" s="11">
        <f>+'Employee Input 15-16'!J19</f>
        <v>0</v>
      </c>
      <c r="K19" s="10">
        <f t="shared" si="1"/>
        <v>5000</v>
      </c>
      <c r="L19" s="16">
        <f>+'Employee Input 15-16'!L19</f>
        <v>0</v>
      </c>
      <c r="M19" s="10" t="str">
        <f t="shared" si="2"/>
        <v/>
      </c>
      <c r="N19" s="10" t="str">
        <f t="shared" si="3"/>
        <v/>
      </c>
      <c r="O19" s="10">
        <f t="shared" si="4"/>
        <v>312.5</v>
      </c>
      <c r="P19" s="10">
        <f t="shared" si="5"/>
        <v>72.5</v>
      </c>
      <c r="Q19" s="351">
        <f t="shared" si="6"/>
        <v>500</v>
      </c>
      <c r="R19" s="12">
        <f>+'Employee Input 15-16'!R19</f>
        <v>0</v>
      </c>
      <c r="S19" s="12">
        <f t="shared" si="7"/>
        <v>100</v>
      </c>
      <c r="T19" s="12">
        <f t="shared" si="8"/>
        <v>60</v>
      </c>
      <c r="U19" s="12"/>
      <c r="V19" s="12"/>
      <c r="W19" s="12">
        <f t="shared" si="9"/>
        <v>545</v>
      </c>
      <c r="X19" s="12">
        <f t="shared" si="10"/>
        <v>5545</v>
      </c>
    </row>
    <row r="20" spans="2:24" x14ac:dyDescent="0.2">
      <c r="B20" s="14">
        <v>2100</v>
      </c>
      <c r="C20" s="15" t="s">
        <v>1256</v>
      </c>
      <c r="D20" s="15" t="s">
        <v>1235</v>
      </c>
      <c r="E20" s="15" t="s">
        <v>1201</v>
      </c>
      <c r="F20" s="331">
        <v>1</v>
      </c>
      <c r="G20" s="300">
        <v>5000</v>
      </c>
      <c r="H20" s="10">
        <f t="shared" si="0"/>
        <v>5000</v>
      </c>
      <c r="I20" s="11">
        <f>+'Employee Input 15-16'!I20</f>
        <v>0</v>
      </c>
      <c r="J20" s="11">
        <f>+'Employee Input 15-16'!J20</f>
        <v>0</v>
      </c>
      <c r="K20" s="10">
        <f t="shared" si="1"/>
        <v>5000</v>
      </c>
      <c r="L20" s="16">
        <f>+'Employee Input 15-16'!L20</f>
        <v>0</v>
      </c>
      <c r="M20" s="10" t="str">
        <f t="shared" si="2"/>
        <v/>
      </c>
      <c r="N20" s="10" t="str">
        <f t="shared" si="3"/>
        <v/>
      </c>
      <c r="O20" s="10">
        <f t="shared" si="4"/>
        <v>312.5</v>
      </c>
      <c r="P20" s="10">
        <f t="shared" si="5"/>
        <v>72.5</v>
      </c>
      <c r="Q20" s="351">
        <f t="shared" si="6"/>
        <v>500</v>
      </c>
      <c r="R20" s="12">
        <f>+'Employee Input 15-16'!R20</f>
        <v>0</v>
      </c>
      <c r="S20" s="12">
        <f t="shared" si="7"/>
        <v>100</v>
      </c>
      <c r="T20" s="12">
        <f t="shared" si="8"/>
        <v>60</v>
      </c>
      <c r="U20" s="12"/>
      <c r="V20" s="12"/>
      <c r="W20" s="12">
        <f t="shared" si="9"/>
        <v>545</v>
      </c>
      <c r="X20" s="12">
        <f t="shared" si="10"/>
        <v>5545</v>
      </c>
    </row>
    <row r="21" spans="2:24" x14ac:dyDescent="0.2">
      <c r="B21" s="14">
        <v>2100</v>
      </c>
      <c r="C21" s="15" t="s">
        <v>1257</v>
      </c>
      <c r="D21" s="15" t="s">
        <v>1235</v>
      </c>
      <c r="E21" s="15" t="s">
        <v>1201</v>
      </c>
      <c r="F21" s="331">
        <v>1</v>
      </c>
      <c r="G21" s="300">
        <v>4000</v>
      </c>
      <c r="H21" s="10">
        <f t="shared" si="0"/>
        <v>4000</v>
      </c>
      <c r="I21" s="11">
        <f>+'Employee Input 15-16'!I21</f>
        <v>0</v>
      </c>
      <c r="J21" s="11">
        <f>+'Employee Input 15-16'!J21</f>
        <v>0</v>
      </c>
      <c r="K21" s="10">
        <f t="shared" si="1"/>
        <v>4000</v>
      </c>
      <c r="L21" s="16">
        <f>+'Employee Input 15-16'!L21</f>
        <v>0</v>
      </c>
      <c r="M21" s="10" t="str">
        <f t="shared" si="2"/>
        <v/>
      </c>
      <c r="N21" s="10" t="str">
        <f t="shared" si="3"/>
        <v/>
      </c>
      <c r="O21" s="10">
        <f t="shared" si="4"/>
        <v>250</v>
      </c>
      <c r="P21" s="10">
        <f t="shared" si="5"/>
        <v>58</v>
      </c>
      <c r="Q21" s="351">
        <f t="shared" si="6"/>
        <v>500</v>
      </c>
      <c r="R21" s="12">
        <f>+'Employee Input 15-16'!R21</f>
        <v>0</v>
      </c>
      <c r="S21" s="12">
        <f t="shared" si="7"/>
        <v>80</v>
      </c>
      <c r="T21" s="12">
        <f t="shared" si="8"/>
        <v>48</v>
      </c>
      <c r="U21" s="12"/>
      <c r="V21" s="12"/>
      <c r="W21" s="12">
        <f t="shared" si="9"/>
        <v>436</v>
      </c>
      <c r="X21" s="12">
        <f t="shared" si="10"/>
        <v>4436</v>
      </c>
    </row>
    <row r="22" spans="2:24" x14ac:dyDescent="0.2">
      <c r="B22" s="14">
        <v>2100</v>
      </c>
      <c r="C22" s="15" t="s">
        <v>1258</v>
      </c>
      <c r="D22" s="15" t="s">
        <v>1235</v>
      </c>
      <c r="E22" s="15" t="s">
        <v>1201</v>
      </c>
      <c r="F22" s="331">
        <v>1</v>
      </c>
      <c r="G22" s="300">
        <v>2500</v>
      </c>
      <c r="H22" s="10">
        <f t="shared" si="0"/>
        <v>2500</v>
      </c>
      <c r="I22" s="11">
        <f>+'Employee Input 15-16'!I22</f>
        <v>0</v>
      </c>
      <c r="J22" s="11">
        <f>+'Employee Input 15-16'!J22</f>
        <v>0</v>
      </c>
      <c r="K22" s="10">
        <f t="shared" si="1"/>
        <v>2500</v>
      </c>
      <c r="L22" s="16">
        <f>+'Employee Input 15-16'!L22</f>
        <v>0</v>
      </c>
      <c r="M22" s="10" t="str">
        <f t="shared" si="2"/>
        <v/>
      </c>
      <c r="N22" s="10" t="str">
        <f t="shared" si="3"/>
        <v/>
      </c>
      <c r="O22" s="10">
        <f t="shared" si="4"/>
        <v>156.25</v>
      </c>
      <c r="P22" s="10">
        <f t="shared" si="5"/>
        <v>36.25</v>
      </c>
      <c r="Q22" s="351">
        <f t="shared" si="6"/>
        <v>500</v>
      </c>
      <c r="R22" s="12">
        <f>+'Employee Input 15-16'!R22</f>
        <v>0</v>
      </c>
      <c r="S22" s="12">
        <f t="shared" si="7"/>
        <v>50</v>
      </c>
      <c r="T22" s="12">
        <f t="shared" si="8"/>
        <v>30</v>
      </c>
      <c r="U22" s="12"/>
      <c r="V22" s="12"/>
      <c r="W22" s="12">
        <f t="shared" si="9"/>
        <v>272.5</v>
      </c>
      <c r="X22" s="12">
        <f t="shared" si="10"/>
        <v>2772.5</v>
      </c>
    </row>
    <row r="23" spans="2:24" x14ac:dyDescent="0.2">
      <c r="B23" s="14">
        <v>2100</v>
      </c>
      <c r="C23" s="15" t="s">
        <v>1259</v>
      </c>
      <c r="D23" s="15" t="s">
        <v>1235</v>
      </c>
      <c r="E23" s="15" t="s">
        <v>1201</v>
      </c>
      <c r="F23" s="331">
        <v>1</v>
      </c>
      <c r="G23" s="300">
        <v>1500</v>
      </c>
      <c r="H23" s="10">
        <f t="shared" si="0"/>
        <v>1500</v>
      </c>
      <c r="I23" s="11">
        <f>+'Employee Input 15-16'!I23</f>
        <v>0</v>
      </c>
      <c r="J23" s="11">
        <f>+'Employee Input 15-16'!J23</f>
        <v>0</v>
      </c>
      <c r="K23" s="10">
        <f t="shared" si="1"/>
        <v>1500</v>
      </c>
      <c r="L23" s="16">
        <f>+'Employee Input 15-16'!L23</f>
        <v>0</v>
      </c>
      <c r="M23" s="10" t="str">
        <f t="shared" si="2"/>
        <v/>
      </c>
      <c r="N23" s="10" t="str">
        <f t="shared" si="3"/>
        <v/>
      </c>
      <c r="O23" s="10">
        <f t="shared" si="4"/>
        <v>93.75</v>
      </c>
      <c r="P23" s="10">
        <f t="shared" si="5"/>
        <v>21.75</v>
      </c>
      <c r="Q23" s="351">
        <f t="shared" si="6"/>
        <v>500</v>
      </c>
      <c r="R23" s="12">
        <f>+'Employee Input 15-16'!R23</f>
        <v>0</v>
      </c>
      <c r="S23" s="12">
        <f t="shared" si="7"/>
        <v>30</v>
      </c>
      <c r="T23" s="12">
        <f t="shared" si="8"/>
        <v>18</v>
      </c>
      <c r="U23" s="12"/>
      <c r="V23" s="12"/>
      <c r="W23" s="12">
        <f t="shared" si="9"/>
        <v>163.5</v>
      </c>
      <c r="X23" s="12">
        <f t="shared" si="10"/>
        <v>1663.5</v>
      </c>
    </row>
    <row r="24" spans="2:24" x14ac:dyDescent="0.2">
      <c r="B24" s="14">
        <v>2100</v>
      </c>
      <c r="C24" s="15" t="s">
        <v>1260</v>
      </c>
      <c r="D24" s="15" t="s">
        <v>1235</v>
      </c>
      <c r="E24" s="15" t="s">
        <v>1201</v>
      </c>
      <c r="F24" s="331">
        <v>1</v>
      </c>
      <c r="G24" s="300">
        <v>5000</v>
      </c>
      <c r="H24" s="10">
        <f t="shared" si="0"/>
        <v>5000</v>
      </c>
      <c r="I24" s="11">
        <f>+'Employee Input 15-16'!I24</f>
        <v>0</v>
      </c>
      <c r="J24" s="11">
        <f>+'Employee Input 15-16'!J24</f>
        <v>0</v>
      </c>
      <c r="K24" s="10">
        <f t="shared" si="1"/>
        <v>5000</v>
      </c>
      <c r="L24" s="16">
        <f>+'Employee Input 15-16'!L24</f>
        <v>0</v>
      </c>
      <c r="M24" s="10" t="str">
        <f t="shared" si="2"/>
        <v/>
      </c>
      <c r="N24" s="10" t="str">
        <f t="shared" si="3"/>
        <v/>
      </c>
      <c r="O24" s="10">
        <f t="shared" si="4"/>
        <v>312.5</v>
      </c>
      <c r="P24" s="10">
        <f t="shared" si="5"/>
        <v>72.5</v>
      </c>
      <c r="Q24" s="351">
        <f t="shared" si="6"/>
        <v>500</v>
      </c>
      <c r="R24" s="12">
        <f>+'Employee Input 15-16'!R24</f>
        <v>0</v>
      </c>
      <c r="S24" s="12">
        <f t="shared" si="7"/>
        <v>100</v>
      </c>
      <c r="T24" s="12">
        <f t="shared" si="8"/>
        <v>60</v>
      </c>
      <c r="U24" s="12"/>
      <c r="V24" s="12"/>
      <c r="W24" s="12">
        <f t="shared" si="9"/>
        <v>545</v>
      </c>
      <c r="X24" s="12">
        <f t="shared" si="10"/>
        <v>5545</v>
      </c>
    </row>
    <row r="25" spans="2:24" x14ac:dyDescent="0.2">
      <c r="B25" s="14">
        <f>+'Employee Input 15-16'!B15</f>
        <v>2400</v>
      </c>
      <c r="C25" s="15" t="str">
        <f>+'Employee Input 15-16'!C15</f>
        <v>Marcia Mollett</v>
      </c>
      <c r="D25" s="15" t="str">
        <f>+'Employee Input 15-16'!D15</f>
        <v>Support</v>
      </c>
      <c r="E25" s="15" t="str">
        <f>+'Employee Input 15-16'!E15</f>
        <v>Support</v>
      </c>
      <c r="F25" s="331">
        <f>+'Employee Input 15-16'!F15</f>
        <v>1</v>
      </c>
      <c r="G25" s="300">
        <v>18600</v>
      </c>
      <c r="H25" s="10">
        <f t="shared" si="0"/>
        <v>18600</v>
      </c>
      <c r="I25" s="11">
        <f>+'Employee Input 15-16'!I15</f>
        <v>0</v>
      </c>
      <c r="J25" s="11">
        <f>+'Employee Input 15-16'!J15</f>
        <v>0</v>
      </c>
      <c r="K25" s="10">
        <f t="shared" si="1"/>
        <v>18600</v>
      </c>
      <c r="L25" s="16">
        <f>+'Employee Input 15-16'!L15</f>
        <v>0</v>
      </c>
      <c r="M25" s="10" t="str">
        <f t="shared" si="2"/>
        <v/>
      </c>
      <c r="N25" s="10" t="str">
        <f t="shared" si="3"/>
        <v/>
      </c>
      <c r="O25" s="10">
        <f t="shared" si="4"/>
        <v>1162.5</v>
      </c>
      <c r="P25" s="10">
        <f t="shared" si="5"/>
        <v>269.7</v>
      </c>
      <c r="Q25" s="351">
        <f t="shared" si="6"/>
        <v>500</v>
      </c>
      <c r="R25" s="12">
        <v>8400</v>
      </c>
      <c r="S25" s="12">
        <f t="shared" si="7"/>
        <v>372</v>
      </c>
      <c r="T25" s="12">
        <f t="shared" si="8"/>
        <v>223.20000000000002</v>
      </c>
      <c r="U25" s="12"/>
      <c r="V25" s="12"/>
      <c r="W25" s="12">
        <f t="shared" si="9"/>
        <v>10427.400000000001</v>
      </c>
      <c r="X25" s="12">
        <f t="shared" si="10"/>
        <v>29027.4</v>
      </c>
    </row>
    <row r="26" spans="2:24" x14ac:dyDescent="0.2">
      <c r="B26" s="14"/>
      <c r="C26" s="15"/>
      <c r="D26" s="15"/>
      <c r="E26" s="15"/>
      <c r="F26" s="331"/>
      <c r="G26" s="300"/>
      <c r="H26" s="10"/>
      <c r="I26" s="11"/>
      <c r="J26" s="11"/>
      <c r="K26" s="10"/>
      <c r="L26" s="16"/>
      <c r="M26" s="10"/>
      <c r="N26" s="10"/>
      <c r="O26" s="10"/>
      <c r="P26" s="10"/>
      <c r="Q26" s="304"/>
      <c r="R26" s="12"/>
      <c r="S26" s="12"/>
      <c r="T26" s="12"/>
      <c r="U26" s="12"/>
      <c r="V26" s="12"/>
      <c r="W26" s="12"/>
      <c r="X26" s="12"/>
    </row>
    <row r="27" spans="2:24" x14ac:dyDescent="0.2">
      <c r="B27" s="14"/>
      <c r="C27" s="15"/>
      <c r="D27" s="15"/>
      <c r="E27" s="15"/>
      <c r="F27" s="331"/>
      <c r="G27" s="300"/>
      <c r="H27" s="10"/>
      <c r="I27" s="11"/>
      <c r="J27" s="11"/>
      <c r="K27" s="10"/>
      <c r="L27" s="16"/>
      <c r="M27" s="10"/>
      <c r="N27" s="10"/>
      <c r="O27" s="10"/>
      <c r="P27" s="10"/>
      <c r="Q27" s="304"/>
      <c r="R27" s="12"/>
      <c r="S27" s="12"/>
      <c r="T27" s="12"/>
      <c r="U27" s="12"/>
      <c r="V27" s="12"/>
      <c r="W27" s="12"/>
      <c r="X27" s="12"/>
    </row>
    <row r="28" spans="2:24" hidden="1" outlineLevel="1" x14ac:dyDescent="0.2">
      <c r="B28" s="14"/>
      <c r="C28" s="15"/>
      <c r="D28" s="15"/>
      <c r="E28" s="15"/>
      <c r="F28" s="331"/>
      <c r="G28" s="300"/>
      <c r="H28" s="10"/>
      <c r="I28" s="11"/>
      <c r="J28" s="11"/>
      <c r="K28" s="10"/>
      <c r="L28" s="16"/>
      <c r="M28" s="10"/>
      <c r="N28" s="10"/>
      <c r="O28" s="10"/>
      <c r="P28" s="10"/>
      <c r="Q28" s="304"/>
      <c r="R28" s="12"/>
      <c r="S28" s="12"/>
      <c r="T28" s="12"/>
      <c r="U28" s="12"/>
      <c r="V28" s="12"/>
      <c r="W28" s="12"/>
      <c r="X28" s="12"/>
    </row>
    <row r="29" spans="2:24" hidden="1" outlineLevel="1" x14ac:dyDescent="0.2">
      <c r="B29" s="14"/>
      <c r="C29" s="15"/>
      <c r="D29" s="15"/>
      <c r="E29" s="15"/>
      <c r="F29" s="331"/>
      <c r="G29" s="300"/>
      <c r="H29" s="10"/>
      <c r="I29" s="11"/>
      <c r="J29" s="11"/>
      <c r="K29" s="10"/>
      <c r="L29" s="16"/>
      <c r="M29" s="10"/>
      <c r="N29" s="10"/>
      <c r="O29" s="10"/>
      <c r="P29" s="10"/>
      <c r="Q29" s="304"/>
      <c r="R29" s="12"/>
      <c r="S29" s="12"/>
      <c r="T29" s="12"/>
      <c r="U29" s="12"/>
      <c r="V29" s="12"/>
      <c r="W29" s="12"/>
      <c r="X29" s="12"/>
    </row>
    <row r="30" spans="2:24" hidden="1" outlineLevel="1" x14ac:dyDescent="0.2">
      <c r="B30" s="14"/>
      <c r="C30" s="15"/>
      <c r="D30" s="15"/>
      <c r="E30" s="15"/>
      <c r="F30" s="331"/>
      <c r="G30" s="300"/>
      <c r="H30" s="10"/>
      <c r="I30" s="11"/>
      <c r="J30" s="11"/>
      <c r="K30" s="10"/>
      <c r="L30" s="16"/>
      <c r="M30" s="10"/>
      <c r="N30" s="10"/>
      <c r="O30" s="10"/>
      <c r="P30" s="10"/>
      <c r="Q30" s="304"/>
      <c r="R30" s="12"/>
      <c r="S30" s="12"/>
      <c r="T30" s="12"/>
      <c r="U30" s="12"/>
      <c r="V30" s="12"/>
      <c r="W30" s="12"/>
      <c r="X30" s="12"/>
    </row>
    <row r="31" spans="2:24" hidden="1" outlineLevel="1" x14ac:dyDescent="0.2">
      <c r="B31" s="14"/>
      <c r="C31" s="15"/>
      <c r="D31" s="15"/>
      <c r="E31" s="15"/>
      <c r="F31" s="331"/>
      <c r="G31" s="300"/>
      <c r="H31" s="10"/>
      <c r="I31" s="11"/>
      <c r="J31" s="11"/>
      <c r="K31" s="10"/>
      <c r="L31" s="16"/>
      <c r="M31" s="10"/>
      <c r="N31" s="10"/>
      <c r="O31" s="10"/>
      <c r="P31" s="10"/>
      <c r="Q31" s="304"/>
      <c r="R31" s="12"/>
      <c r="S31" s="12"/>
      <c r="T31" s="12"/>
      <c r="U31" s="12"/>
      <c r="V31" s="12"/>
      <c r="W31" s="12"/>
      <c r="X31" s="12"/>
    </row>
    <row r="32" spans="2:24" hidden="1" outlineLevel="1" x14ac:dyDescent="0.2">
      <c r="B32" s="14"/>
      <c r="C32" s="15"/>
      <c r="D32" s="15"/>
      <c r="E32" s="15"/>
      <c r="F32" s="331"/>
      <c r="G32" s="300"/>
      <c r="H32" s="10"/>
      <c r="I32" s="11"/>
      <c r="J32" s="11"/>
      <c r="K32" s="10"/>
      <c r="L32" s="16"/>
      <c r="M32" s="10"/>
      <c r="N32" s="10"/>
      <c r="O32" s="10"/>
      <c r="P32" s="10"/>
      <c r="Q32" s="304"/>
      <c r="R32" s="12"/>
      <c r="S32" s="12"/>
      <c r="T32" s="12"/>
      <c r="U32" s="12"/>
      <c r="V32" s="12"/>
      <c r="W32" s="12"/>
      <c r="X32" s="12"/>
    </row>
    <row r="33" spans="2:24" hidden="1" outlineLevel="1" x14ac:dyDescent="0.2">
      <c r="B33" s="14"/>
      <c r="C33" s="15"/>
      <c r="D33" s="15"/>
      <c r="E33" s="15"/>
      <c r="F33" s="331"/>
      <c r="G33" s="300"/>
      <c r="H33" s="10"/>
      <c r="I33" s="11"/>
      <c r="J33" s="11"/>
      <c r="K33" s="10"/>
      <c r="L33" s="16"/>
      <c r="M33" s="10"/>
      <c r="N33" s="10"/>
      <c r="O33" s="10"/>
      <c r="P33" s="10"/>
      <c r="Q33" s="304"/>
      <c r="R33" s="12"/>
      <c r="S33" s="12"/>
      <c r="T33" s="12"/>
      <c r="U33" s="12"/>
      <c r="V33" s="12"/>
      <c r="W33" s="12"/>
      <c r="X33" s="12"/>
    </row>
    <row r="34" spans="2:24" hidden="1" outlineLevel="1" x14ac:dyDescent="0.2">
      <c r="B34" s="14"/>
      <c r="C34" s="15"/>
      <c r="D34" s="15"/>
      <c r="E34" s="15"/>
      <c r="F34" s="331"/>
      <c r="G34" s="300"/>
      <c r="H34" s="10"/>
      <c r="I34" s="11"/>
      <c r="J34" s="11"/>
      <c r="K34" s="10"/>
      <c r="L34" s="16"/>
      <c r="M34" s="10"/>
      <c r="N34" s="10"/>
      <c r="O34" s="10"/>
      <c r="P34" s="10"/>
      <c r="Q34" s="304"/>
      <c r="R34" s="12"/>
      <c r="S34" s="12"/>
      <c r="T34" s="12"/>
      <c r="U34" s="12"/>
      <c r="V34" s="12"/>
      <c r="W34" s="12"/>
      <c r="X34" s="12"/>
    </row>
    <row r="35" spans="2:24" hidden="1" outlineLevel="1" x14ac:dyDescent="0.2">
      <c r="B35" s="14"/>
      <c r="C35" s="15"/>
      <c r="D35" s="15"/>
      <c r="E35" s="15"/>
      <c r="F35" s="331"/>
      <c r="G35" s="300"/>
      <c r="H35" s="10"/>
      <c r="I35" s="11"/>
      <c r="J35" s="11"/>
      <c r="K35" s="10"/>
      <c r="L35" s="16"/>
      <c r="M35" s="10"/>
      <c r="N35" s="10"/>
      <c r="O35" s="10"/>
      <c r="P35" s="10"/>
      <c r="Q35" s="304"/>
      <c r="R35" s="12"/>
      <c r="S35" s="12"/>
      <c r="T35" s="12"/>
      <c r="U35" s="12"/>
      <c r="V35" s="12"/>
      <c r="W35" s="12"/>
      <c r="X35" s="12"/>
    </row>
    <row r="36" spans="2:24" hidden="1" outlineLevel="1" x14ac:dyDescent="0.2">
      <c r="B36" s="14"/>
      <c r="C36" s="15"/>
      <c r="D36" s="15"/>
      <c r="E36" s="15"/>
      <c r="F36" s="331"/>
      <c r="G36" s="300"/>
      <c r="H36" s="10"/>
      <c r="I36" s="11"/>
      <c r="J36" s="11"/>
      <c r="K36" s="10"/>
      <c r="L36" s="16"/>
      <c r="M36" s="10"/>
      <c r="N36" s="10"/>
      <c r="O36" s="10"/>
      <c r="P36" s="10"/>
      <c r="Q36" s="304"/>
      <c r="R36" s="12"/>
      <c r="S36" s="12"/>
      <c r="T36" s="12"/>
      <c r="U36" s="12"/>
      <c r="V36" s="12"/>
      <c r="W36" s="12"/>
      <c r="X36" s="12"/>
    </row>
    <row r="37" spans="2:24" hidden="1" outlineLevel="1" x14ac:dyDescent="0.2">
      <c r="B37" s="14"/>
      <c r="C37" s="15"/>
      <c r="D37" s="15"/>
      <c r="E37" s="15"/>
      <c r="F37" s="331"/>
      <c r="G37" s="300"/>
      <c r="H37" s="10"/>
      <c r="I37" s="11"/>
      <c r="J37" s="11"/>
      <c r="K37" s="10"/>
      <c r="L37" s="16"/>
      <c r="M37" s="10"/>
      <c r="N37" s="10"/>
      <c r="O37" s="10"/>
      <c r="P37" s="10"/>
      <c r="Q37" s="304"/>
      <c r="R37" s="12"/>
      <c r="S37" s="12"/>
      <c r="T37" s="12"/>
      <c r="U37" s="12"/>
      <c r="V37" s="12"/>
      <c r="W37" s="12"/>
      <c r="X37" s="12"/>
    </row>
    <row r="38" spans="2:24" hidden="1" outlineLevel="1" x14ac:dyDescent="0.2">
      <c r="B38" s="14"/>
      <c r="C38" s="15"/>
      <c r="D38" s="15"/>
      <c r="E38" s="15"/>
      <c r="F38" s="331"/>
      <c r="G38" s="300"/>
      <c r="H38" s="10"/>
      <c r="I38" s="11"/>
      <c r="J38" s="11"/>
      <c r="K38" s="10"/>
      <c r="L38" s="16"/>
      <c r="M38" s="10"/>
      <c r="N38" s="10"/>
      <c r="O38" s="10"/>
      <c r="P38" s="10"/>
      <c r="Q38" s="304"/>
      <c r="R38" s="12"/>
      <c r="S38" s="12"/>
      <c r="T38" s="12"/>
      <c r="U38" s="12"/>
      <c r="V38" s="12"/>
      <c r="W38" s="12"/>
      <c r="X38" s="12"/>
    </row>
    <row r="39" spans="2:24" hidden="1" outlineLevel="1" x14ac:dyDescent="0.2">
      <c r="B39" s="14"/>
      <c r="C39" s="15"/>
      <c r="D39" s="15"/>
      <c r="E39" s="15"/>
      <c r="F39" s="331"/>
      <c r="G39" s="300"/>
      <c r="H39" s="10"/>
      <c r="I39" s="11"/>
      <c r="J39" s="11"/>
      <c r="K39" s="10"/>
      <c r="L39" s="16"/>
      <c r="M39" s="10"/>
      <c r="N39" s="10"/>
      <c r="O39" s="10"/>
      <c r="P39" s="10"/>
      <c r="Q39" s="304"/>
      <c r="R39" s="12"/>
      <c r="S39" s="12"/>
      <c r="T39" s="12"/>
      <c r="U39" s="12"/>
      <c r="V39" s="12"/>
      <c r="W39" s="12"/>
      <c r="X39" s="12"/>
    </row>
    <row r="40" spans="2:24" hidden="1" outlineLevel="1" x14ac:dyDescent="0.2">
      <c r="B40" s="14"/>
      <c r="C40" s="15"/>
      <c r="D40" s="15"/>
      <c r="E40" s="15"/>
      <c r="F40" s="331"/>
      <c r="G40" s="300"/>
      <c r="H40" s="10"/>
      <c r="I40" s="11"/>
      <c r="J40" s="11"/>
      <c r="K40" s="10"/>
      <c r="L40" s="16"/>
      <c r="M40" s="10"/>
      <c r="N40" s="10"/>
      <c r="O40" s="10"/>
      <c r="P40" s="10"/>
      <c r="Q40" s="304"/>
      <c r="R40" s="12"/>
      <c r="S40" s="12"/>
      <c r="T40" s="12"/>
      <c r="U40" s="12"/>
      <c r="V40" s="12"/>
      <c r="W40" s="12"/>
      <c r="X40" s="12"/>
    </row>
    <row r="41" spans="2:24" hidden="1" outlineLevel="1" x14ac:dyDescent="0.2">
      <c r="B41" s="14"/>
      <c r="C41" s="15"/>
      <c r="D41" s="15"/>
      <c r="E41" s="15"/>
      <c r="F41" s="331"/>
      <c r="G41" s="300"/>
      <c r="H41" s="10"/>
      <c r="I41" s="11"/>
      <c r="J41" s="11"/>
      <c r="K41" s="10"/>
      <c r="L41" s="16"/>
      <c r="M41" s="10"/>
      <c r="N41" s="10"/>
      <c r="O41" s="10"/>
      <c r="P41" s="10"/>
      <c r="Q41" s="304"/>
      <c r="R41" s="12"/>
      <c r="S41" s="12"/>
      <c r="T41" s="12"/>
      <c r="U41" s="12"/>
      <c r="V41" s="12"/>
      <c r="W41" s="12"/>
      <c r="X41" s="12"/>
    </row>
    <row r="42" spans="2:24" hidden="1" outlineLevel="1" x14ac:dyDescent="0.2">
      <c r="B42" s="14"/>
      <c r="C42" s="15"/>
      <c r="D42" s="15"/>
      <c r="E42" s="15"/>
      <c r="F42" s="331"/>
      <c r="G42" s="300"/>
      <c r="H42" s="10"/>
      <c r="I42" s="11"/>
      <c r="J42" s="11"/>
      <c r="K42" s="10"/>
      <c r="L42" s="16"/>
      <c r="M42" s="10"/>
      <c r="N42" s="10"/>
      <c r="O42" s="10"/>
      <c r="P42" s="10"/>
      <c r="Q42" s="304"/>
      <c r="R42" s="12"/>
      <c r="S42" s="12"/>
      <c r="T42" s="12"/>
      <c r="U42" s="12"/>
      <c r="V42" s="12"/>
      <c r="W42" s="12"/>
      <c r="X42" s="12"/>
    </row>
    <row r="43" spans="2:24" hidden="1" outlineLevel="1" x14ac:dyDescent="0.2">
      <c r="B43" s="14"/>
      <c r="C43" s="15"/>
      <c r="D43" s="15"/>
      <c r="E43" s="15"/>
      <c r="F43" s="331"/>
      <c r="G43" s="300"/>
      <c r="H43" s="10"/>
      <c r="I43" s="11"/>
      <c r="J43" s="11"/>
      <c r="K43" s="10"/>
      <c r="L43" s="16"/>
      <c r="M43" s="10"/>
      <c r="N43" s="10"/>
      <c r="O43" s="10"/>
      <c r="P43" s="10"/>
      <c r="Q43" s="304"/>
      <c r="R43" s="12"/>
      <c r="S43" s="12"/>
      <c r="T43" s="12"/>
      <c r="U43" s="12"/>
      <c r="V43" s="12"/>
      <c r="W43" s="12"/>
      <c r="X43" s="12"/>
    </row>
    <row r="44" spans="2:24" hidden="1" outlineLevel="1" x14ac:dyDescent="0.2">
      <c r="B44" s="14"/>
      <c r="C44" s="15"/>
      <c r="D44" s="15"/>
      <c r="E44" s="15"/>
      <c r="F44" s="331"/>
      <c r="G44" s="300"/>
      <c r="H44" s="10"/>
      <c r="I44" s="11"/>
      <c r="J44" s="11"/>
      <c r="K44" s="10"/>
      <c r="L44" s="16"/>
      <c r="M44" s="10"/>
      <c r="N44" s="10"/>
      <c r="O44" s="10"/>
      <c r="P44" s="10"/>
      <c r="Q44" s="304"/>
      <c r="R44" s="12"/>
      <c r="S44" s="12"/>
      <c r="T44" s="12"/>
      <c r="U44" s="12"/>
      <c r="V44" s="12"/>
      <c r="W44" s="12"/>
      <c r="X44" s="12"/>
    </row>
    <row r="45" spans="2:24" hidden="1" outlineLevel="1" x14ac:dyDescent="0.2">
      <c r="B45" s="14"/>
      <c r="C45" s="15"/>
      <c r="D45" s="15"/>
      <c r="E45" s="15"/>
      <c r="F45" s="331"/>
      <c r="G45" s="300"/>
      <c r="H45" s="10"/>
      <c r="I45" s="11"/>
      <c r="J45" s="11"/>
      <c r="K45" s="10"/>
      <c r="L45" s="16"/>
      <c r="M45" s="10"/>
      <c r="N45" s="10"/>
      <c r="O45" s="10"/>
      <c r="P45" s="10"/>
      <c r="Q45" s="304"/>
      <c r="R45" s="12"/>
      <c r="S45" s="12"/>
      <c r="T45" s="12"/>
      <c r="U45" s="12"/>
      <c r="V45" s="12"/>
      <c r="W45" s="12"/>
      <c r="X45" s="12"/>
    </row>
    <row r="46" spans="2:24" hidden="1" outlineLevel="1" x14ac:dyDescent="0.2">
      <c r="B46" s="14"/>
      <c r="C46" s="15"/>
      <c r="D46" s="15"/>
      <c r="E46" s="15"/>
      <c r="F46" s="331"/>
      <c r="G46" s="300"/>
      <c r="H46" s="10"/>
      <c r="I46" s="11"/>
      <c r="J46" s="11"/>
      <c r="K46" s="10"/>
      <c r="L46" s="16"/>
      <c r="M46" s="10"/>
      <c r="N46" s="10"/>
      <c r="O46" s="10"/>
      <c r="P46" s="10"/>
      <c r="Q46" s="304"/>
      <c r="R46" s="12"/>
      <c r="S46" s="12"/>
      <c r="T46" s="12"/>
      <c r="U46" s="12"/>
      <c r="V46" s="12"/>
      <c r="W46" s="12"/>
      <c r="X46" s="12"/>
    </row>
    <row r="47" spans="2:24" hidden="1" outlineLevel="1" x14ac:dyDescent="0.2">
      <c r="B47" s="14"/>
      <c r="C47" s="15"/>
      <c r="D47" s="15"/>
      <c r="E47" s="15"/>
      <c r="F47" s="331"/>
      <c r="G47" s="300"/>
      <c r="H47" s="10"/>
      <c r="I47" s="11"/>
      <c r="J47" s="11"/>
      <c r="K47" s="10"/>
      <c r="L47" s="16"/>
      <c r="M47" s="10"/>
      <c r="N47" s="10"/>
      <c r="O47" s="10"/>
      <c r="P47" s="10"/>
      <c r="Q47" s="304"/>
      <c r="R47" s="12"/>
      <c r="S47" s="12"/>
      <c r="T47" s="12"/>
      <c r="U47" s="12"/>
      <c r="V47" s="12"/>
      <c r="W47" s="12"/>
      <c r="X47" s="12"/>
    </row>
    <row r="48" spans="2:24" hidden="1" outlineLevel="1" x14ac:dyDescent="0.2">
      <c r="B48" s="14"/>
      <c r="C48" s="15"/>
      <c r="D48" s="15"/>
      <c r="E48" s="15"/>
      <c r="F48" s="331"/>
      <c r="G48" s="300"/>
      <c r="H48" s="10"/>
      <c r="I48" s="11"/>
      <c r="J48" s="11"/>
      <c r="K48" s="10"/>
      <c r="L48" s="16"/>
      <c r="M48" s="10"/>
      <c r="N48" s="10"/>
      <c r="O48" s="10"/>
      <c r="P48" s="10"/>
      <c r="Q48" s="304"/>
      <c r="R48" s="12"/>
      <c r="S48" s="12"/>
      <c r="T48" s="12"/>
      <c r="U48" s="12"/>
      <c r="V48" s="12"/>
      <c r="W48" s="12"/>
      <c r="X48" s="12"/>
    </row>
    <row r="49" spans="2:24" hidden="1" outlineLevel="1" x14ac:dyDescent="0.2">
      <c r="B49" s="14"/>
      <c r="C49" s="15"/>
      <c r="D49" s="15"/>
      <c r="E49" s="15"/>
      <c r="F49" s="331"/>
      <c r="G49" s="300"/>
      <c r="H49" s="10"/>
      <c r="I49" s="11"/>
      <c r="J49" s="11"/>
      <c r="K49" s="10"/>
      <c r="L49" s="16"/>
      <c r="M49" s="10"/>
      <c r="N49" s="10"/>
      <c r="O49" s="10"/>
      <c r="P49" s="10"/>
      <c r="Q49" s="304"/>
      <c r="R49" s="12"/>
      <c r="S49" s="12"/>
      <c r="T49" s="12"/>
      <c r="U49" s="12"/>
      <c r="V49" s="12"/>
      <c r="W49" s="12"/>
      <c r="X49" s="12"/>
    </row>
    <row r="50" spans="2:24" hidden="1" outlineLevel="1" x14ac:dyDescent="0.2">
      <c r="B50" s="14"/>
      <c r="C50" s="15"/>
      <c r="D50" s="15"/>
      <c r="E50" s="15"/>
      <c r="F50" s="331"/>
      <c r="G50" s="300"/>
      <c r="H50" s="10"/>
      <c r="I50" s="11"/>
      <c r="J50" s="11"/>
      <c r="K50" s="10"/>
      <c r="L50" s="16"/>
      <c r="M50" s="10"/>
      <c r="N50" s="10"/>
      <c r="O50" s="10"/>
      <c r="P50" s="10"/>
      <c r="Q50" s="304"/>
      <c r="R50" s="12"/>
      <c r="S50" s="12"/>
      <c r="T50" s="12"/>
      <c r="U50" s="12"/>
      <c r="V50" s="12"/>
      <c r="W50" s="12"/>
      <c r="X50" s="12"/>
    </row>
    <row r="51" spans="2:24" hidden="1" outlineLevel="1" x14ac:dyDescent="0.2">
      <c r="B51" s="14"/>
      <c r="C51" s="15"/>
      <c r="D51" s="15"/>
      <c r="E51" s="15"/>
      <c r="F51" s="331"/>
      <c r="G51" s="300"/>
      <c r="H51" s="10"/>
      <c r="I51" s="11"/>
      <c r="J51" s="11"/>
      <c r="K51" s="10"/>
      <c r="L51" s="16"/>
      <c r="M51" s="10"/>
      <c r="N51" s="10"/>
      <c r="O51" s="10"/>
      <c r="P51" s="10"/>
      <c r="Q51" s="304"/>
      <c r="R51" s="12"/>
      <c r="S51" s="12"/>
      <c r="T51" s="12"/>
      <c r="U51" s="12"/>
      <c r="V51" s="12"/>
      <c r="W51" s="12"/>
      <c r="X51" s="12"/>
    </row>
    <row r="52" spans="2:24" hidden="1" outlineLevel="1" x14ac:dyDescent="0.2">
      <c r="B52" s="14"/>
      <c r="C52" s="15"/>
      <c r="D52" s="15"/>
      <c r="E52" s="15"/>
      <c r="F52" s="331"/>
      <c r="G52" s="300"/>
      <c r="H52" s="10"/>
      <c r="I52" s="11"/>
      <c r="J52" s="11"/>
      <c r="K52" s="10"/>
      <c r="L52" s="16"/>
      <c r="M52" s="10"/>
      <c r="N52" s="10"/>
      <c r="O52" s="10"/>
      <c r="P52" s="10"/>
      <c r="Q52" s="304"/>
      <c r="R52" s="12"/>
      <c r="S52" s="12"/>
      <c r="T52" s="12"/>
      <c r="U52" s="12"/>
      <c r="V52" s="12"/>
      <c r="W52" s="12"/>
      <c r="X52" s="12"/>
    </row>
    <row r="53" spans="2:24" hidden="1" outlineLevel="1" x14ac:dyDescent="0.2">
      <c r="B53" s="14"/>
      <c r="C53" s="15"/>
      <c r="D53" s="15"/>
      <c r="E53" s="15"/>
      <c r="F53" s="331"/>
      <c r="G53" s="300"/>
      <c r="H53" s="10"/>
      <c r="I53" s="11"/>
      <c r="J53" s="11"/>
      <c r="K53" s="10"/>
      <c r="L53" s="16"/>
      <c r="M53" s="10"/>
      <c r="N53" s="10"/>
      <c r="O53" s="10"/>
      <c r="P53" s="10"/>
      <c r="Q53" s="304"/>
      <c r="R53" s="12"/>
      <c r="S53" s="12"/>
      <c r="T53" s="12"/>
      <c r="U53" s="12"/>
      <c r="V53" s="12"/>
      <c r="W53" s="12"/>
      <c r="X53" s="12"/>
    </row>
    <row r="54" spans="2:24" hidden="1" outlineLevel="1" x14ac:dyDescent="0.2">
      <c r="B54" s="14"/>
      <c r="C54" s="15"/>
      <c r="D54" s="15"/>
      <c r="E54" s="15"/>
      <c r="F54" s="331"/>
      <c r="G54" s="300"/>
      <c r="H54" s="10"/>
      <c r="I54" s="11"/>
      <c r="J54" s="11"/>
      <c r="K54" s="10"/>
      <c r="L54" s="16"/>
      <c r="M54" s="10"/>
      <c r="N54" s="10"/>
      <c r="O54" s="10"/>
      <c r="P54" s="10"/>
      <c r="Q54" s="304"/>
      <c r="R54" s="12"/>
      <c r="S54" s="12"/>
      <c r="T54" s="12"/>
      <c r="U54" s="12"/>
      <c r="V54" s="12"/>
      <c r="W54" s="12"/>
      <c r="X54" s="12"/>
    </row>
    <row r="55" spans="2:24" hidden="1" outlineLevel="1" x14ac:dyDescent="0.2">
      <c r="B55" s="14"/>
      <c r="C55" s="15"/>
      <c r="D55" s="15"/>
      <c r="E55" s="15"/>
      <c r="F55" s="331"/>
      <c r="G55" s="300"/>
      <c r="H55" s="10"/>
      <c r="I55" s="11"/>
      <c r="J55" s="11"/>
      <c r="K55" s="10"/>
      <c r="L55" s="16"/>
      <c r="M55" s="10"/>
      <c r="N55" s="10"/>
      <c r="O55" s="10"/>
      <c r="P55" s="10"/>
      <c r="Q55" s="304"/>
      <c r="R55" s="12"/>
      <c r="S55" s="12"/>
      <c r="T55" s="12"/>
      <c r="U55" s="12"/>
      <c r="V55" s="12"/>
      <c r="W55" s="12"/>
      <c r="X55" s="12"/>
    </row>
    <row r="56" spans="2:24" hidden="1" outlineLevel="1" x14ac:dyDescent="0.2">
      <c r="B56" s="14"/>
      <c r="C56" s="15"/>
      <c r="D56" s="15"/>
      <c r="E56" s="15"/>
      <c r="F56" s="331"/>
      <c r="G56" s="300"/>
      <c r="H56" s="10"/>
      <c r="I56" s="11"/>
      <c r="J56" s="11"/>
      <c r="K56" s="10"/>
      <c r="L56" s="16"/>
      <c r="M56" s="10"/>
      <c r="N56" s="10"/>
      <c r="O56" s="10"/>
      <c r="P56" s="10"/>
      <c r="Q56" s="304"/>
      <c r="R56" s="12"/>
      <c r="S56" s="12"/>
      <c r="T56" s="12"/>
      <c r="U56" s="12"/>
      <c r="V56" s="12"/>
      <c r="W56" s="12"/>
      <c r="X56" s="12"/>
    </row>
    <row r="57" spans="2:24" hidden="1" outlineLevel="1" x14ac:dyDescent="0.2">
      <c r="B57" s="14"/>
      <c r="C57" s="15"/>
      <c r="D57" s="15"/>
      <c r="E57" s="15"/>
      <c r="F57" s="331"/>
      <c r="G57" s="300"/>
      <c r="H57" s="10"/>
      <c r="I57" s="11"/>
      <c r="J57" s="11"/>
      <c r="K57" s="10"/>
      <c r="L57" s="16"/>
      <c r="M57" s="10"/>
      <c r="N57" s="10"/>
      <c r="O57" s="10"/>
      <c r="P57" s="10"/>
      <c r="Q57" s="304"/>
      <c r="R57" s="12"/>
      <c r="S57" s="12"/>
      <c r="T57" s="12"/>
      <c r="U57" s="12"/>
      <c r="V57" s="12"/>
      <c r="W57" s="12"/>
      <c r="X57" s="12"/>
    </row>
    <row r="58" spans="2:24" hidden="1" outlineLevel="1" x14ac:dyDescent="0.2">
      <c r="B58" s="14"/>
      <c r="C58" s="15"/>
      <c r="D58" s="15"/>
      <c r="E58" s="15"/>
      <c r="F58" s="331"/>
      <c r="G58" s="300"/>
      <c r="H58" s="10"/>
      <c r="I58" s="11"/>
      <c r="J58" s="11"/>
      <c r="K58" s="10"/>
      <c r="L58" s="16"/>
      <c r="M58" s="10"/>
      <c r="N58" s="10"/>
      <c r="O58" s="10"/>
      <c r="P58" s="10"/>
      <c r="Q58" s="304"/>
      <c r="R58" s="12"/>
      <c r="S58" s="12"/>
      <c r="T58" s="12"/>
      <c r="U58" s="12"/>
      <c r="V58" s="12"/>
      <c r="W58" s="12"/>
      <c r="X58" s="12"/>
    </row>
    <row r="59" spans="2:24" hidden="1" outlineLevel="1" x14ac:dyDescent="0.2">
      <c r="B59" s="14"/>
      <c r="C59" s="15"/>
      <c r="D59" s="15"/>
      <c r="E59" s="15"/>
      <c r="F59" s="331"/>
      <c r="G59" s="300"/>
      <c r="H59" s="10"/>
      <c r="I59" s="11"/>
      <c r="J59" s="11"/>
      <c r="K59" s="10"/>
      <c r="L59" s="16"/>
      <c r="M59" s="10"/>
      <c r="N59" s="10"/>
      <c r="O59" s="10"/>
      <c r="P59" s="10"/>
      <c r="Q59" s="304"/>
      <c r="R59" s="12"/>
      <c r="S59" s="12"/>
      <c r="T59" s="12"/>
      <c r="U59" s="12"/>
      <c r="V59" s="12"/>
      <c r="W59" s="12"/>
      <c r="X59" s="12"/>
    </row>
    <row r="60" spans="2:24" hidden="1" outlineLevel="1" x14ac:dyDescent="0.2">
      <c r="B60" s="14"/>
      <c r="C60" s="15"/>
      <c r="D60" s="15"/>
      <c r="E60" s="15"/>
      <c r="F60" s="331"/>
      <c r="G60" s="300"/>
      <c r="H60" s="10"/>
      <c r="I60" s="11"/>
      <c r="J60" s="11"/>
      <c r="K60" s="10"/>
      <c r="L60" s="16"/>
      <c r="M60" s="10"/>
      <c r="N60" s="10"/>
      <c r="O60" s="10"/>
      <c r="P60" s="10"/>
      <c r="Q60" s="304"/>
      <c r="R60" s="12"/>
      <c r="S60" s="12"/>
      <c r="T60" s="12"/>
      <c r="U60" s="12"/>
      <c r="V60" s="12"/>
      <c r="W60" s="12"/>
      <c r="X60" s="12"/>
    </row>
    <row r="61" spans="2:24" hidden="1" outlineLevel="1" x14ac:dyDescent="0.2">
      <c r="B61" s="14"/>
      <c r="C61" s="15"/>
      <c r="D61" s="15"/>
      <c r="E61" s="15"/>
      <c r="F61" s="331"/>
      <c r="G61" s="300"/>
      <c r="H61" s="10"/>
      <c r="I61" s="11"/>
      <c r="J61" s="11"/>
      <c r="K61" s="10"/>
      <c r="L61" s="16"/>
      <c r="M61" s="10"/>
      <c r="N61" s="10"/>
      <c r="O61" s="10"/>
      <c r="P61" s="10"/>
      <c r="Q61" s="304"/>
      <c r="R61" s="12"/>
      <c r="S61" s="12"/>
      <c r="T61" s="12"/>
      <c r="U61" s="12"/>
      <c r="V61" s="12"/>
      <c r="W61" s="12"/>
      <c r="X61" s="12"/>
    </row>
    <row r="62" spans="2:24" hidden="1" outlineLevel="1" x14ac:dyDescent="0.2">
      <c r="B62" s="14"/>
      <c r="C62" s="15"/>
      <c r="D62" s="15"/>
      <c r="E62" s="15"/>
      <c r="F62" s="331"/>
      <c r="G62" s="300"/>
      <c r="H62" s="10"/>
      <c r="I62" s="11"/>
      <c r="J62" s="11"/>
      <c r="K62" s="10"/>
      <c r="L62" s="16"/>
      <c r="M62" s="10"/>
      <c r="N62" s="10"/>
      <c r="O62" s="10"/>
      <c r="P62" s="10"/>
      <c r="Q62" s="304"/>
      <c r="R62" s="12"/>
      <c r="S62" s="12"/>
      <c r="T62" s="12"/>
      <c r="U62" s="12"/>
      <c r="V62" s="12"/>
      <c r="W62" s="12"/>
      <c r="X62" s="12"/>
    </row>
    <row r="63" spans="2:24" hidden="1" outlineLevel="1" x14ac:dyDescent="0.2">
      <c r="B63" s="14"/>
      <c r="C63" s="15"/>
      <c r="D63" s="15"/>
      <c r="E63" s="15"/>
      <c r="F63" s="331"/>
      <c r="G63" s="300"/>
      <c r="H63" s="10"/>
      <c r="I63" s="11"/>
      <c r="J63" s="11"/>
      <c r="K63" s="10"/>
      <c r="L63" s="16"/>
      <c r="M63" s="10"/>
      <c r="N63" s="10"/>
      <c r="O63" s="10"/>
      <c r="P63" s="10"/>
      <c r="Q63" s="304"/>
      <c r="R63" s="12"/>
      <c r="S63" s="12"/>
      <c r="T63" s="12"/>
      <c r="U63" s="12"/>
      <c r="V63" s="12"/>
      <c r="W63" s="12"/>
      <c r="X63" s="12"/>
    </row>
    <row r="64" spans="2:24" hidden="1" outlineLevel="1" x14ac:dyDescent="0.2">
      <c r="B64" s="14"/>
      <c r="C64" s="15"/>
      <c r="D64" s="15"/>
      <c r="E64" s="15"/>
      <c r="F64" s="331"/>
      <c r="G64" s="300"/>
      <c r="H64" s="10"/>
      <c r="I64" s="11"/>
      <c r="J64" s="11"/>
      <c r="K64" s="10"/>
      <c r="L64" s="16"/>
      <c r="M64" s="10"/>
      <c r="N64" s="10"/>
      <c r="O64" s="10"/>
      <c r="P64" s="10"/>
      <c r="Q64" s="304"/>
      <c r="R64" s="12"/>
      <c r="S64" s="12"/>
      <c r="T64" s="12"/>
      <c r="U64" s="12"/>
      <c r="V64" s="12"/>
      <c r="W64" s="12"/>
      <c r="X64" s="12"/>
    </row>
    <row r="65" spans="2:24" hidden="1" outlineLevel="1" x14ac:dyDescent="0.2">
      <c r="B65" s="14"/>
      <c r="C65" s="15"/>
      <c r="D65" s="15"/>
      <c r="E65" s="15"/>
      <c r="F65" s="331"/>
      <c r="G65" s="300"/>
      <c r="H65" s="10"/>
      <c r="I65" s="11"/>
      <c r="J65" s="11"/>
      <c r="K65" s="10"/>
      <c r="L65" s="16"/>
      <c r="M65" s="10"/>
      <c r="N65" s="10"/>
      <c r="O65" s="10"/>
      <c r="P65" s="10"/>
      <c r="Q65" s="304"/>
      <c r="R65" s="12"/>
      <c r="S65" s="12"/>
      <c r="T65" s="12"/>
      <c r="U65" s="12"/>
      <c r="V65" s="12"/>
      <c r="W65" s="12"/>
      <c r="X65" s="12"/>
    </row>
    <row r="66" spans="2:24" hidden="1" outlineLevel="1" x14ac:dyDescent="0.2">
      <c r="B66" s="14"/>
      <c r="C66" s="15"/>
      <c r="D66" s="15"/>
      <c r="E66" s="15"/>
      <c r="F66" s="331"/>
      <c r="G66" s="300"/>
      <c r="H66" s="10"/>
      <c r="I66" s="11"/>
      <c r="J66" s="11"/>
      <c r="K66" s="10"/>
      <c r="L66" s="16"/>
      <c r="M66" s="10"/>
      <c r="N66" s="10"/>
      <c r="O66" s="10"/>
      <c r="P66" s="10"/>
      <c r="Q66" s="304"/>
      <c r="R66" s="12"/>
      <c r="S66" s="12"/>
      <c r="T66" s="12"/>
      <c r="U66" s="12"/>
      <c r="V66" s="12"/>
      <c r="W66" s="12"/>
      <c r="X66" s="12"/>
    </row>
    <row r="67" spans="2:24" hidden="1" outlineLevel="1" x14ac:dyDescent="0.2">
      <c r="B67" s="14"/>
      <c r="C67" s="15"/>
      <c r="D67" s="15"/>
      <c r="E67" s="15"/>
      <c r="F67" s="331"/>
      <c r="G67" s="300"/>
      <c r="H67" s="10"/>
      <c r="I67" s="11"/>
      <c r="J67" s="11"/>
      <c r="K67" s="10"/>
      <c r="L67" s="16"/>
      <c r="M67" s="10"/>
      <c r="N67" s="10"/>
      <c r="O67" s="10"/>
      <c r="P67" s="10"/>
      <c r="Q67" s="304"/>
      <c r="R67" s="12"/>
      <c r="S67" s="12"/>
      <c r="T67" s="12"/>
      <c r="U67" s="12"/>
      <c r="V67" s="12"/>
      <c r="W67" s="12"/>
      <c r="X67" s="12"/>
    </row>
    <row r="68" spans="2:24" hidden="1" outlineLevel="1" x14ac:dyDescent="0.2">
      <c r="B68" s="14"/>
      <c r="C68" s="15"/>
      <c r="D68" s="15"/>
      <c r="E68" s="15"/>
      <c r="F68" s="331"/>
      <c r="G68" s="300"/>
      <c r="H68" s="10"/>
      <c r="I68" s="11"/>
      <c r="J68" s="11"/>
      <c r="K68" s="10"/>
      <c r="L68" s="16"/>
      <c r="M68" s="10"/>
      <c r="N68" s="10"/>
      <c r="O68" s="10"/>
      <c r="P68" s="10"/>
      <c r="Q68" s="304"/>
      <c r="R68" s="12"/>
      <c r="S68" s="12"/>
      <c r="T68" s="12"/>
      <c r="U68" s="12"/>
      <c r="V68" s="12"/>
      <c r="W68" s="12"/>
      <c r="X68" s="12"/>
    </row>
    <row r="69" spans="2:24" hidden="1" outlineLevel="1" x14ac:dyDescent="0.2">
      <c r="B69" s="14"/>
      <c r="C69" s="15"/>
      <c r="D69" s="15"/>
      <c r="E69" s="15"/>
      <c r="F69" s="331"/>
      <c r="G69" s="300"/>
      <c r="H69" s="10"/>
      <c r="I69" s="11"/>
      <c r="J69" s="11"/>
      <c r="K69" s="10"/>
      <c r="L69" s="16"/>
      <c r="M69" s="10"/>
      <c r="N69" s="10"/>
      <c r="O69" s="10"/>
      <c r="P69" s="10"/>
      <c r="Q69" s="304"/>
      <c r="R69" s="12"/>
      <c r="S69" s="12"/>
      <c r="T69" s="12"/>
      <c r="U69" s="12"/>
      <c r="V69" s="12"/>
      <c r="W69" s="12"/>
      <c r="X69" s="12"/>
    </row>
    <row r="70" spans="2:24" hidden="1" outlineLevel="1" x14ac:dyDescent="0.2">
      <c r="B70" s="14"/>
      <c r="C70" s="15"/>
      <c r="D70" s="15"/>
      <c r="E70" s="15"/>
      <c r="F70" s="331"/>
      <c r="G70" s="300"/>
      <c r="H70" s="10"/>
      <c r="I70" s="11"/>
      <c r="J70" s="11"/>
      <c r="K70" s="10"/>
      <c r="L70" s="16"/>
      <c r="M70" s="10"/>
      <c r="N70" s="10"/>
      <c r="O70" s="10"/>
      <c r="P70" s="10"/>
      <c r="Q70" s="304"/>
      <c r="R70" s="12"/>
      <c r="S70" s="12"/>
      <c r="T70" s="12"/>
      <c r="U70" s="12"/>
      <c r="V70" s="12"/>
      <c r="W70" s="12"/>
      <c r="X70" s="12"/>
    </row>
    <row r="71" spans="2:24" hidden="1" outlineLevel="1" x14ac:dyDescent="0.2">
      <c r="B71" s="14"/>
      <c r="C71" s="15"/>
      <c r="D71" s="15"/>
      <c r="E71" s="15"/>
      <c r="F71" s="331"/>
      <c r="G71" s="300"/>
      <c r="H71" s="10"/>
      <c r="I71" s="11"/>
      <c r="J71" s="11"/>
      <c r="K71" s="10"/>
      <c r="L71" s="16"/>
      <c r="M71" s="10"/>
      <c r="N71" s="10"/>
      <c r="O71" s="10"/>
      <c r="P71" s="10"/>
      <c r="Q71" s="304"/>
      <c r="R71" s="12"/>
      <c r="S71" s="12"/>
      <c r="T71" s="12"/>
      <c r="U71" s="12"/>
      <c r="V71" s="12"/>
      <c r="W71" s="12"/>
      <c r="X71" s="12"/>
    </row>
    <row r="72" spans="2:24" hidden="1" outlineLevel="1" x14ac:dyDescent="0.2">
      <c r="B72" s="14"/>
      <c r="C72" s="15"/>
      <c r="D72" s="15"/>
      <c r="E72" s="15"/>
      <c r="F72" s="331"/>
      <c r="G72" s="300"/>
      <c r="H72" s="10"/>
      <c r="I72" s="11"/>
      <c r="J72" s="11"/>
      <c r="K72" s="10"/>
      <c r="L72" s="16"/>
      <c r="M72" s="10"/>
      <c r="N72" s="10"/>
      <c r="O72" s="10"/>
      <c r="P72" s="10"/>
      <c r="Q72" s="304"/>
      <c r="R72" s="12"/>
      <c r="S72" s="12"/>
      <c r="T72" s="12"/>
      <c r="U72" s="12"/>
      <c r="V72" s="12"/>
      <c r="W72" s="12"/>
      <c r="X72" s="12"/>
    </row>
    <row r="73" spans="2:24" hidden="1" outlineLevel="1" x14ac:dyDescent="0.2">
      <c r="B73" s="14"/>
      <c r="C73" s="15"/>
      <c r="D73" s="15"/>
      <c r="E73" s="15"/>
      <c r="F73" s="331"/>
      <c r="G73" s="300"/>
      <c r="H73" s="10"/>
      <c r="I73" s="11"/>
      <c r="J73" s="11"/>
      <c r="K73" s="10"/>
      <c r="L73" s="16"/>
      <c r="M73" s="10"/>
      <c r="N73" s="10"/>
      <c r="O73" s="10"/>
      <c r="P73" s="10"/>
      <c r="Q73" s="304"/>
      <c r="R73" s="12"/>
      <c r="S73" s="12"/>
      <c r="T73" s="12"/>
      <c r="U73" s="12"/>
      <c r="V73" s="12"/>
      <c r="W73" s="12"/>
      <c r="X73" s="12"/>
    </row>
    <row r="74" spans="2:24" hidden="1" outlineLevel="1" x14ac:dyDescent="0.2">
      <c r="B74" s="14"/>
      <c r="C74" s="15"/>
      <c r="D74" s="15"/>
      <c r="E74" s="15"/>
      <c r="F74" s="331"/>
      <c r="G74" s="300"/>
      <c r="H74" s="10"/>
      <c r="I74" s="11"/>
      <c r="J74" s="11"/>
      <c r="K74" s="10"/>
      <c r="L74" s="16"/>
      <c r="M74" s="10"/>
      <c r="N74" s="10"/>
      <c r="O74" s="10"/>
      <c r="P74" s="10"/>
      <c r="Q74" s="304"/>
      <c r="R74" s="12"/>
      <c r="S74" s="12"/>
      <c r="T74" s="12"/>
      <c r="U74" s="12"/>
      <c r="V74" s="12"/>
      <c r="W74" s="12"/>
      <c r="X74" s="12"/>
    </row>
    <row r="75" spans="2:24" hidden="1" outlineLevel="1" x14ac:dyDescent="0.2">
      <c r="B75" s="14"/>
      <c r="C75" s="15"/>
      <c r="D75" s="15"/>
      <c r="E75" s="15"/>
      <c r="F75" s="331"/>
      <c r="G75" s="300"/>
      <c r="H75" s="10"/>
      <c r="I75" s="11"/>
      <c r="J75" s="11"/>
      <c r="K75" s="10"/>
      <c r="L75" s="16"/>
      <c r="M75" s="10"/>
      <c r="N75" s="10"/>
      <c r="O75" s="10"/>
      <c r="P75" s="10"/>
      <c r="Q75" s="304"/>
      <c r="R75" s="12"/>
      <c r="S75" s="12"/>
      <c r="T75" s="12"/>
      <c r="U75" s="12"/>
      <c r="V75" s="12"/>
      <c r="W75" s="12"/>
      <c r="X75" s="12"/>
    </row>
    <row r="76" spans="2:24" hidden="1" outlineLevel="1" x14ac:dyDescent="0.2">
      <c r="B76" s="14"/>
      <c r="C76" s="15"/>
      <c r="D76" s="15"/>
      <c r="E76" s="15"/>
      <c r="F76" s="331"/>
      <c r="G76" s="300"/>
      <c r="H76" s="10"/>
      <c r="I76" s="11"/>
      <c r="J76" s="11"/>
      <c r="K76" s="10"/>
      <c r="L76" s="16"/>
      <c r="M76" s="10"/>
      <c r="N76" s="10"/>
      <c r="O76" s="10"/>
      <c r="P76" s="10"/>
      <c r="Q76" s="304"/>
      <c r="R76" s="12"/>
      <c r="S76" s="12"/>
      <c r="T76" s="12"/>
      <c r="U76" s="12"/>
      <c r="V76" s="12"/>
      <c r="W76" s="12"/>
      <c r="X76" s="12"/>
    </row>
    <row r="77" spans="2:24" hidden="1" outlineLevel="1" x14ac:dyDescent="0.2">
      <c r="B77" s="14"/>
      <c r="C77" s="15"/>
      <c r="D77" s="15"/>
      <c r="E77" s="15"/>
      <c r="F77" s="331"/>
      <c r="G77" s="300"/>
      <c r="H77" s="10"/>
      <c r="I77" s="11"/>
      <c r="J77" s="11"/>
      <c r="K77" s="10"/>
      <c r="L77" s="16"/>
      <c r="M77" s="10"/>
      <c r="N77" s="10"/>
      <c r="O77" s="10"/>
      <c r="P77" s="10"/>
      <c r="Q77" s="304"/>
      <c r="R77" s="12"/>
      <c r="S77" s="12"/>
      <c r="T77" s="12"/>
      <c r="U77" s="12"/>
      <c r="V77" s="12"/>
      <c r="W77" s="12"/>
      <c r="X77" s="12"/>
    </row>
    <row r="78" spans="2:24" hidden="1" outlineLevel="1" x14ac:dyDescent="0.2">
      <c r="B78" s="14"/>
      <c r="C78" s="15"/>
      <c r="D78" s="15"/>
      <c r="E78" s="15"/>
      <c r="F78" s="331"/>
      <c r="G78" s="300"/>
      <c r="H78" s="10"/>
      <c r="I78" s="11"/>
      <c r="J78" s="11"/>
      <c r="K78" s="10"/>
      <c r="L78" s="16"/>
      <c r="M78" s="10"/>
      <c r="N78" s="10"/>
      <c r="O78" s="10"/>
      <c r="P78" s="10"/>
      <c r="Q78" s="304"/>
      <c r="R78" s="12"/>
      <c r="S78" s="12"/>
      <c r="T78" s="12"/>
      <c r="U78" s="12"/>
      <c r="V78" s="12"/>
      <c r="W78" s="12"/>
      <c r="X78" s="12"/>
    </row>
    <row r="79" spans="2:24" hidden="1" outlineLevel="1" x14ac:dyDescent="0.2">
      <c r="B79" s="14"/>
      <c r="C79" s="15"/>
      <c r="D79" s="15"/>
      <c r="E79" s="15"/>
      <c r="F79" s="331"/>
      <c r="G79" s="300"/>
      <c r="H79" s="10"/>
      <c r="I79" s="11"/>
      <c r="J79" s="11"/>
      <c r="K79" s="10"/>
      <c r="L79" s="16"/>
      <c r="M79" s="10"/>
      <c r="N79" s="10"/>
      <c r="O79" s="10"/>
      <c r="P79" s="10"/>
      <c r="Q79" s="304"/>
      <c r="R79" s="12"/>
      <c r="S79" s="12"/>
      <c r="T79" s="12"/>
      <c r="U79" s="12"/>
      <c r="V79" s="12"/>
      <c r="W79" s="12"/>
      <c r="X79" s="12"/>
    </row>
    <row r="80" spans="2:24" hidden="1" outlineLevel="1" x14ac:dyDescent="0.2">
      <c r="B80" s="14"/>
      <c r="C80" s="15"/>
      <c r="D80" s="15"/>
      <c r="E80" s="15"/>
      <c r="F80" s="331"/>
      <c r="G80" s="300"/>
      <c r="H80" s="10"/>
      <c r="I80" s="11"/>
      <c r="J80" s="11"/>
      <c r="K80" s="10"/>
      <c r="L80" s="16"/>
      <c r="M80" s="10"/>
      <c r="N80" s="10"/>
      <c r="O80" s="10"/>
      <c r="P80" s="10"/>
      <c r="Q80" s="304"/>
      <c r="R80" s="12"/>
      <c r="S80" s="12"/>
      <c r="T80" s="12"/>
      <c r="U80" s="12"/>
      <c r="V80" s="12"/>
      <c r="W80" s="12"/>
      <c r="X80" s="12"/>
    </row>
    <row r="81" spans="2:24" hidden="1" outlineLevel="1" x14ac:dyDescent="0.2">
      <c r="B81" s="14"/>
      <c r="C81" s="15"/>
      <c r="D81" s="15"/>
      <c r="E81" s="15"/>
      <c r="F81" s="331"/>
      <c r="G81" s="300"/>
      <c r="H81" s="10"/>
      <c r="I81" s="11"/>
      <c r="J81" s="11"/>
      <c r="K81" s="10"/>
      <c r="L81" s="16"/>
      <c r="M81" s="10"/>
      <c r="N81" s="10"/>
      <c r="O81" s="10"/>
      <c r="P81" s="10"/>
      <c r="Q81" s="304"/>
      <c r="R81" s="12"/>
      <c r="S81" s="12"/>
      <c r="T81" s="12"/>
      <c r="U81" s="12"/>
      <c r="V81" s="12"/>
      <c r="W81" s="12"/>
      <c r="X81" s="12"/>
    </row>
    <row r="82" spans="2:24" hidden="1" outlineLevel="1" x14ac:dyDescent="0.2">
      <c r="B82" s="14"/>
      <c r="C82" s="15"/>
      <c r="D82" s="15"/>
      <c r="E82" s="15"/>
      <c r="F82" s="331"/>
      <c r="G82" s="300"/>
      <c r="H82" s="10"/>
      <c r="I82" s="11"/>
      <c r="J82" s="11"/>
      <c r="K82" s="10"/>
      <c r="L82" s="16"/>
      <c r="M82" s="10"/>
      <c r="N82" s="10"/>
      <c r="O82" s="10"/>
      <c r="P82" s="10"/>
      <c r="Q82" s="304"/>
      <c r="R82" s="12"/>
      <c r="S82" s="12"/>
      <c r="T82" s="12"/>
      <c r="U82" s="12"/>
      <c r="V82" s="12"/>
      <c r="W82" s="12"/>
      <c r="X82" s="12"/>
    </row>
    <row r="83" spans="2:24" hidden="1" outlineLevel="1" x14ac:dyDescent="0.2">
      <c r="B83" s="14"/>
      <c r="C83" s="15"/>
      <c r="D83" s="15"/>
      <c r="E83" s="15"/>
      <c r="F83" s="331"/>
      <c r="G83" s="300"/>
      <c r="H83" s="10"/>
      <c r="I83" s="11"/>
      <c r="J83" s="11"/>
      <c r="K83" s="10"/>
      <c r="L83" s="16"/>
      <c r="M83" s="10"/>
      <c r="N83" s="10"/>
      <c r="O83" s="10"/>
      <c r="P83" s="10"/>
      <c r="Q83" s="304"/>
      <c r="R83" s="12"/>
      <c r="S83" s="12"/>
      <c r="T83" s="12"/>
      <c r="U83" s="12"/>
      <c r="V83" s="12"/>
      <c r="W83" s="12"/>
      <c r="X83" s="12"/>
    </row>
    <row r="84" spans="2:24" hidden="1" outlineLevel="1" x14ac:dyDescent="0.2">
      <c r="B84" s="14"/>
      <c r="C84" s="15"/>
      <c r="D84" s="15"/>
      <c r="E84" s="15"/>
      <c r="F84" s="331"/>
      <c r="G84" s="300"/>
      <c r="H84" s="10"/>
      <c r="I84" s="11"/>
      <c r="J84" s="11"/>
      <c r="K84" s="10"/>
      <c r="L84" s="16"/>
      <c r="M84" s="10"/>
      <c r="N84" s="10"/>
      <c r="O84" s="10"/>
      <c r="P84" s="10"/>
      <c r="Q84" s="304"/>
      <c r="R84" s="12"/>
      <c r="S84" s="12"/>
      <c r="T84" s="12"/>
      <c r="U84" s="12"/>
      <c r="V84" s="12"/>
      <c r="W84" s="12"/>
      <c r="X84" s="12"/>
    </row>
    <row r="85" spans="2:24" hidden="1" outlineLevel="1" x14ac:dyDescent="0.2">
      <c r="B85" s="14"/>
      <c r="C85" s="15"/>
      <c r="D85" s="15"/>
      <c r="E85" s="15"/>
      <c r="F85" s="331"/>
      <c r="G85" s="300"/>
      <c r="H85" s="10"/>
      <c r="I85" s="11"/>
      <c r="J85" s="11"/>
      <c r="K85" s="10"/>
      <c r="L85" s="16"/>
      <c r="M85" s="10"/>
      <c r="N85" s="10"/>
      <c r="O85" s="10"/>
      <c r="P85" s="10"/>
      <c r="Q85" s="304"/>
      <c r="R85" s="12"/>
      <c r="S85" s="12"/>
      <c r="T85" s="12"/>
      <c r="U85" s="12"/>
      <c r="V85" s="12"/>
      <c r="W85" s="12"/>
      <c r="X85" s="12"/>
    </row>
    <row r="86" spans="2:24" hidden="1" outlineLevel="1" x14ac:dyDescent="0.2">
      <c r="B86" s="14"/>
      <c r="C86" s="15"/>
      <c r="D86" s="15"/>
      <c r="E86" s="15"/>
      <c r="F86" s="331"/>
      <c r="G86" s="300"/>
      <c r="H86" s="10"/>
      <c r="I86" s="11"/>
      <c r="J86" s="11"/>
      <c r="K86" s="10"/>
      <c r="L86" s="16"/>
      <c r="M86" s="10"/>
      <c r="N86" s="10"/>
      <c r="O86" s="10"/>
      <c r="P86" s="10"/>
      <c r="Q86" s="304"/>
      <c r="R86" s="12"/>
      <c r="S86" s="12"/>
      <c r="T86" s="12"/>
      <c r="U86" s="12"/>
      <c r="V86" s="12"/>
      <c r="W86" s="12"/>
      <c r="X86" s="12"/>
    </row>
    <row r="87" spans="2:24" hidden="1" outlineLevel="1" x14ac:dyDescent="0.2">
      <c r="B87" s="14"/>
      <c r="C87" s="15"/>
      <c r="D87" s="15"/>
      <c r="E87" s="15"/>
      <c r="F87" s="331"/>
      <c r="G87" s="300"/>
      <c r="H87" s="10"/>
      <c r="I87" s="11"/>
      <c r="J87" s="11"/>
      <c r="K87" s="10"/>
      <c r="L87" s="16"/>
      <c r="M87" s="10"/>
      <c r="N87" s="10"/>
      <c r="O87" s="10"/>
      <c r="P87" s="10"/>
      <c r="Q87" s="304"/>
      <c r="R87" s="12"/>
      <c r="S87" s="12"/>
      <c r="T87" s="12"/>
      <c r="U87" s="12"/>
      <c r="V87" s="12"/>
      <c r="W87" s="12"/>
      <c r="X87" s="12"/>
    </row>
    <row r="88" spans="2:24" hidden="1" outlineLevel="1" x14ac:dyDescent="0.2">
      <c r="B88" s="14"/>
      <c r="C88" s="15"/>
      <c r="D88" s="15"/>
      <c r="E88" s="15"/>
      <c r="F88" s="331"/>
      <c r="G88" s="300"/>
      <c r="H88" s="10"/>
      <c r="I88" s="11"/>
      <c r="J88" s="11"/>
      <c r="K88" s="10"/>
      <c r="L88" s="16"/>
      <c r="M88" s="10"/>
      <c r="N88" s="10"/>
      <c r="O88" s="10"/>
      <c r="P88" s="10"/>
      <c r="Q88" s="304"/>
      <c r="R88" s="12"/>
      <c r="S88" s="12"/>
      <c r="T88" s="12"/>
      <c r="U88" s="12"/>
      <c r="V88" s="12"/>
      <c r="W88" s="12"/>
      <c r="X88" s="12"/>
    </row>
    <row r="89" spans="2:24" hidden="1" outlineLevel="1" x14ac:dyDescent="0.2">
      <c r="B89" s="14"/>
      <c r="C89" s="15"/>
      <c r="D89" s="15"/>
      <c r="E89" s="15"/>
      <c r="F89" s="331"/>
      <c r="G89" s="300"/>
      <c r="H89" s="10"/>
      <c r="I89" s="11"/>
      <c r="J89" s="11"/>
      <c r="K89" s="10"/>
      <c r="L89" s="16"/>
      <c r="M89" s="10"/>
      <c r="N89" s="10"/>
      <c r="O89" s="10"/>
      <c r="P89" s="10"/>
      <c r="Q89" s="304"/>
      <c r="R89" s="12"/>
      <c r="S89" s="12"/>
      <c r="T89" s="12"/>
      <c r="U89" s="12"/>
      <c r="V89" s="12"/>
      <c r="W89" s="12"/>
      <c r="X89" s="12"/>
    </row>
    <row r="90" spans="2:24" hidden="1" outlineLevel="1" x14ac:dyDescent="0.2">
      <c r="B90" s="14"/>
      <c r="C90" s="15"/>
      <c r="D90" s="15"/>
      <c r="E90" s="15"/>
      <c r="F90" s="331"/>
      <c r="G90" s="300"/>
      <c r="H90" s="10"/>
      <c r="I90" s="11"/>
      <c r="J90" s="11"/>
      <c r="K90" s="10"/>
      <c r="L90" s="16"/>
      <c r="M90" s="10"/>
      <c r="N90" s="10"/>
      <c r="O90" s="10"/>
      <c r="P90" s="10"/>
      <c r="Q90" s="304"/>
      <c r="R90" s="12"/>
      <c r="S90" s="12"/>
      <c r="T90" s="12"/>
      <c r="U90" s="12"/>
      <c r="V90" s="12"/>
      <c r="W90" s="12"/>
      <c r="X90" s="12"/>
    </row>
    <row r="91" spans="2:24" hidden="1" outlineLevel="1" x14ac:dyDescent="0.2">
      <c r="B91" s="14"/>
      <c r="C91" s="15"/>
      <c r="D91" s="15"/>
      <c r="E91" s="15"/>
      <c r="F91" s="331"/>
      <c r="G91" s="300"/>
      <c r="H91" s="10"/>
      <c r="I91" s="11"/>
      <c r="J91" s="11"/>
      <c r="K91" s="10"/>
      <c r="L91" s="16"/>
      <c r="M91" s="10"/>
      <c r="N91" s="10"/>
      <c r="O91" s="10"/>
      <c r="P91" s="10"/>
      <c r="Q91" s="304"/>
      <c r="R91" s="12"/>
      <c r="S91" s="12"/>
      <c r="T91" s="12"/>
      <c r="U91" s="12"/>
      <c r="V91" s="12"/>
      <c r="W91" s="12"/>
      <c r="X91" s="12"/>
    </row>
    <row r="92" spans="2:24" hidden="1" outlineLevel="1" x14ac:dyDescent="0.2">
      <c r="B92" s="14"/>
      <c r="C92" s="15"/>
      <c r="D92" s="15"/>
      <c r="E92" s="15"/>
      <c r="F92" s="331"/>
      <c r="G92" s="300"/>
      <c r="H92" s="10"/>
      <c r="I92" s="11"/>
      <c r="J92" s="11"/>
      <c r="K92" s="10"/>
      <c r="L92" s="16"/>
      <c r="M92" s="10"/>
      <c r="N92" s="10"/>
      <c r="O92" s="10"/>
      <c r="P92" s="10"/>
      <c r="Q92" s="304"/>
      <c r="R92" s="12"/>
      <c r="S92" s="12"/>
      <c r="T92" s="12"/>
      <c r="U92" s="12"/>
      <c r="V92" s="12"/>
      <c r="W92" s="12"/>
      <c r="X92" s="12"/>
    </row>
    <row r="93" spans="2:24" hidden="1" outlineLevel="1" x14ac:dyDescent="0.2">
      <c r="B93" s="14"/>
      <c r="C93" s="15"/>
      <c r="D93" s="15"/>
      <c r="E93" s="15"/>
      <c r="F93" s="331"/>
      <c r="G93" s="300"/>
      <c r="H93" s="10"/>
      <c r="I93" s="11"/>
      <c r="J93" s="11"/>
      <c r="K93" s="10"/>
      <c r="L93" s="16"/>
      <c r="M93" s="10"/>
      <c r="N93" s="10"/>
      <c r="O93" s="10"/>
      <c r="P93" s="10"/>
      <c r="Q93" s="304"/>
      <c r="R93" s="12"/>
      <c r="S93" s="12"/>
      <c r="T93" s="12"/>
      <c r="U93" s="12"/>
      <c r="V93" s="12"/>
      <c r="W93" s="12"/>
      <c r="X93" s="12"/>
    </row>
    <row r="94" spans="2:24" hidden="1" outlineLevel="1" x14ac:dyDescent="0.2">
      <c r="B94" s="14"/>
      <c r="C94" s="15"/>
      <c r="D94" s="15"/>
      <c r="E94" s="15"/>
      <c r="F94" s="331"/>
      <c r="G94" s="300"/>
      <c r="H94" s="10"/>
      <c r="I94" s="11"/>
      <c r="J94" s="11"/>
      <c r="K94" s="10"/>
      <c r="L94" s="16"/>
      <c r="M94" s="10"/>
      <c r="N94" s="10"/>
      <c r="O94" s="10"/>
      <c r="P94" s="10"/>
      <c r="Q94" s="304"/>
      <c r="R94" s="12"/>
      <c r="S94" s="12"/>
      <c r="T94" s="12"/>
      <c r="U94" s="12"/>
      <c r="V94" s="12"/>
      <c r="W94" s="12"/>
      <c r="X94" s="12"/>
    </row>
    <row r="95" spans="2:24" hidden="1" outlineLevel="1" x14ac:dyDescent="0.2">
      <c r="B95" s="14"/>
      <c r="C95" s="15"/>
      <c r="D95" s="15"/>
      <c r="E95" s="15"/>
      <c r="F95" s="331"/>
      <c r="G95" s="300"/>
      <c r="H95" s="10"/>
      <c r="I95" s="11"/>
      <c r="J95" s="11"/>
      <c r="K95" s="10"/>
      <c r="L95" s="16"/>
      <c r="M95" s="10"/>
      <c r="N95" s="10"/>
      <c r="O95" s="10"/>
      <c r="P95" s="10"/>
      <c r="Q95" s="304"/>
      <c r="R95" s="12"/>
      <c r="S95" s="12"/>
      <c r="T95" s="12"/>
      <c r="U95" s="12"/>
      <c r="V95" s="12"/>
      <c r="W95" s="12"/>
      <c r="X95" s="12"/>
    </row>
    <row r="96" spans="2:24" hidden="1" outlineLevel="1" x14ac:dyDescent="0.2">
      <c r="B96" s="14"/>
      <c r="C96" s="15"/>
      <c r="D96" s="15"/>
      <c r="E96" s="15"/>
      <c r="F96" s="14"/>
      <c r="G96" s="300"/>
      <c r="H96" s="10"/>
      <c r="I96" s="11"/>
      <c r="J96" s="11"/>
      <c r="K96" s="10"/>
      <c r="L96" s="16"/>
      <c r="M96" s="10"/>
      <c r="N96" s="10"/>
      <c r="O96" s="10"/>
      <c r="P96" s="10"/>
      <c r="Q96" s="304"/>
      <c r="R96" s="12"/>
      <c r="S96" s="12"/>
      <c r="T96" s="12"/>
      <c r="U96" s="12"/>
      <c r="V96" s="12"/>
      <c r="W96" s="12"/>
      <c r="X96" s="12"/>
    </row>
    <row r="97" spans="1:24" hidden="1" outlineLevel="1" x14ac:dyDescent="0.2">
      <c r="B97" s="14" t="str">
        <f>IF('Employee Input 15-16'!B97="","",'Employee Input 15-16'!B97)</f>
        <v/>
      </c>
      <c r="C97" s="15" t="str">
        <f>IF('Employee Input 15-16'!C97="","",'Employee Input 15-16'!C97)</f>
        <v/>
      </c>
      <c r="D97" s="15" t="str">
        <f>IF('Employee Input 15-16'!D97="","",'Employee Input 15-16'!D97)</f>
        <v/>
      </c>
      <c r="E97" s="15" t="str">
        <f>IF('Employee Input 15-16'!E97="","",'Employee Input 15-16'!E97)</f>
        <v/>
      </c>
      <c r="F97" s="14" t="str">
        <f>IF('Employee Input 15-16'!F97="","",'Employee Input 15-16'!F97)</f>
        <v/>
      </c>
      <c r="G97" s="300" t="str">
        <f>IF('Employee Input 15-16'!G97="","",'Employee Input 15-16'!G97*(1+$G$2))</f>
        <v/>
      </c>
      <c r="H97" s="10" t="str">
        <f>IF(F97="","",F97*G97)</f>
        <v/>
      </c>
      <c r="I97" s="11" t="str">
        <f>IF('Employee Input 15-16'!I97="","",'Employee Input 15-16'!I97)</f>
        <v/>
      </c>
      <c r="J97" s="11" t="str">
        <f>IF('Employee Input 15-16'!J97="","",'Employee Input 15-16'!J97)</f>
        <v/>
      </c>
      <c r="K97" s="10" t="str">
        <f>IF(SUM(H97:J97)&gt;0,SUM(H97:J97),"")</f>
        <v/>
      </c>
      <c r="L97" s="16" t="str">
        <f>IF('Employee Input 15-16'!L97="","",'Employee Input 15-16'!L97)</f>
        <v/>
      </c>
      <c r="M97" s="10"/>
      <c r="N97" s="10"/>
      <c r="O97" s="10"/>
      <c r="P97" s="10"/>
      <c r="Q97" s="304"/>
      <c r="R97" s="12"/>
      <c r="S97" s="12"/>
      <c r="T97" s="12"/>
      <c r="U97" s="12"/>
      <c r="V97" s="12"/>
      <c r="W97" s="12"/>
      <c r="X97" s="12"/>
    </row>
    <row r="98" spans="1:24" ht="17" collapsed="1" thickBot="1" x14ac:dyDescent="0.25">
      <c r="A98" s="23"/>
      <c r="B98" s="39"/>
      <c r="C98" s="25"/>
      <c r="D98" s="25"/>
      <c r="E98" s="25"/>
      <c r="F98" s="39"/>
      <c r="G98" s="39"/>
      <c r="H98" s="39"/>
      <c r="I98" s="39"/>
      <c r="J98" s="39"/>
      <c r="K98" s="23"/>
      <c r="L98" s="39"/>
      <c r="M98" s="23"/>
      <c r="N98" s="23"/>
      <c r="O98" s="23"/>
      <c r="P98" s="23"/>
      <c r="Q98" s="39"/>
      <c r="R98" s="23"/>
      <c r="S98" s="23"/>
      <c r="T98" s="23"/>
      <c r="U98" s="23"/>
      <c r="V98" s="23"/>
      <c r="W98" s="23"/>
      <c r="X98" s="23"/>
    </row>
    <row r="99" spans="1:24" x14ac:dyDescent="0.2">
      <c r="B99" s="34" t="s">
        <v>741</v>
      </c>
      <c r="C99" s="284"/>
      <c r="D99" s="285"/>
      <c r="E99" s="284" t="str">
        <f>IF(SUM(E50,E63,E97)&gt;0,SUM(E50,E63,E97),"")</f>
        <v/>
      </c>
      <c r="F99" s="38">
        <f>SUM(F7:F98)</f>
        <v>19</v>
      </c>
      <c r="G99" s="38"/>
      <c r="H99" s="38">
        <f>SUM(H7:H98)</f>
        <v>411626</v>
      </c>
      <c r="I99" s="38">
        <f>SUM(I7:I98)</f>
        <v>3000</v>
      </c>
      <c r="J99" s="38">
        <f>SUM(J7:J98)</f>
        <v>0</v>
      </c>
      <c r="K99" s="38">
        <f>SUM(K7:K98)</f>
        <v>414626</v>
      </c>
      <c r="M99" s="38">
        <f>SUM(M7:M98)</f>
        <v>38533.294799999996</v>
      </c>
      <c r="N99" s="38">
        <f>SUM(N7:N98)</f>
        <v>0</v>
      </c>
      <c r="O99" s="38">
        <f>SUM(O7:O98)</f>
        <v>6770</v>
      </c>
      <c r="P99" s="38">
        <f>SUM(P7:P98)</f>
        <v>6012.0769999999984</v>
      </c>
      <c r="Q99" s="38"/>
      <c r="R99" s="38">
        <f t="shared" ref="R99:X99" si="11">SUM(R7:R98)</f>
        <v>81000</v>
      </c>
      <c r="S99" s="38">
        <f t="shared" si="11"/>
        <v>8292.52</v>
      </c>
      <c r="T99" s="38">
        <f t="shared" si="11"/>
        <v>4975.5119999999997</v>
      </c>
      <c r="U99" s="38">
        <f t="shared" si="11"/>
        <v>0</v>
      </c>
      <c r="V99" s="38">
        <f t="shared" si="11"/>
        <v>0</v>
      </c>
      <c r="W99" s="38">
        <f t="shared" si="11"/>
        <v>145583.4038</v>
      </c>
      <c r="X99" s="38">
        <f t="shared" si="11"/>
        <v>560209.40380000009</v>
      </c>
    </row>
    <row r="100" spans="1:24" x14ac:dyDescent="0.2">
      <c r="T100" s="6" t="s">
        <v>1213</v>
      </c>
    </row>
    <row r="101" spans="1:24" x14ac:dyDescent="0.2">
      <c r="B101" s="34" t="s">
        <v>745</v>
      </c>
      <c r="F101" s="38">
        <f>SUMIF($B:$B,1100,F:F)</f>
        <v>5</v>
      </c>
      <c r="G101" s="38"/>
      <c r="H101" s="38">
        <f>SUMIF($B:$B,1100,H:H)</f>
        <v>236706</v>
      </c>
      <c r="I101" s="38">
        <f>SUMIF($B:$B,1100,I:I)</f>
        <v>1500</v>
      </c>
      <c r="J101" s="38">
        <f>SUMIF($B:$B,1100,J:J)</f>
        <v>0</v>
      </c>
      <c r="K101" s="38">
        <f>SUMIF($B:$B,1100,K:K)</f>
        <v>238206</v>
      </c>
      <c r="M101" s="38">
        <f>SUMIF($B:$B,1100,M:M)</f>
        <v>29966.3148</v>
      </c>
      <c r="N101" s="38">
        <f>SUMIF($B:$B,1100,N:N)</f>
        <v>0</v>
      </c>
      <c r="O101" s="38">
        <f>SUMIF($B:$B,1100,O:O)</f>
        <v>0</v>
      </c>
      <c r="P101" s="38">
        <f>SUMIF($B:$B,1100,P:P)</f>
        <v>3453.9870000000001</v>
      </c>
      <c r="Q101" s="38"/>
      <c r="R101" s="38">
        <f t="shared" ref="R101:X101" si="12">SUMIF($B:$B,1100,R:R)</f>
        <v>62100</v>
      </c>
      <c r="S101" s="38">
        <f t="shared" si="12"/>
        <v>4764.12</v>
      </c>
      <c r="T101" s="38">
        <f t="shared" si="12"/>
        <v>2858.4720000000002</v>
      </c>
      <c r="U101" s="38">
        <f t="shared" si="12"/>
        <v>0</v>
      </c>
      <c r="V101" s="38">
        <f t="shared" si="12"/>
        <v>0</v>
      </c>
      <c r="W101" s="38">
        <f t="shared" si="12"/>
        <v>103142.89380000002</v>
      </c>
      <c r="X101" s="38">
        <f t="shared" si="12"/>
        <v>341348.89380000008</v>
      </c>
    </row>
  </sheetData>
  <sortState ref="B7:X25">
    <sortCondition ref="B7:B25"/>
  </sortState>
  <pageMargins left="0.25" right="0.25" top="0.25" bottom="0.25" header="0.3" footer="0.3"/>
  <pageSetup scale="61" fitToWidth="2"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249977111117893"/>
    <pageSetUpPr fitToPage="1"/>
  </sheetPr>
  <dimension ref="A1:X173"/>
  <sheetViews>
    <sheetView workbookViewId="0">
      <pane xSplit="3" ySplit="6" topLeftCell="D7"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7.83203125" style="95" customWidth="1"/>
    <col min="19" max="19" width="10.33203125" style="1" bestFit="1" customWidth="1"/>
    <col min="20" max="24" width="11.5" style="1" customWidth="1"/>
    <col min="25"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20" ht="20" x14ac:dyDescent="0.2">
      <c r="A1" s="22" t="str">
        <f>'Student Info'!$A$1</f>
        <v>Three Rivers Charter School</v>
      </c>
      <c r="D1" s="181" t="s">
        <v>920</v>
      </c>
    </row>
    <row r="2" spans="1:20" ht="18" x14ac:dyDescent="0.2">
      <c r="A2" s="21" t="s">
        <v>804</v>
      </c>
      <c r="D2" s="181" t="s">
        <v>919</v>
      </c>
    </row>
    <row r="3" spans="1:20" ht="18" x14ac:dyDescent="0.2">
      <c r="A3" s="21" t="str">
        <f>'Cash Flow $s Yr2'!A3</f>
        <v>2016-17</v>
      </c>
    </row>
    <row r="5" spans="1:20" ht="18" x14ac:dyDescent="0.2">
      <c r="A5" s="29"/>
      <c r="B5" s="41"/>
      <c r="C5" s="29"/>
      <c r="D5" s="96"/>
      <c r="E5" s="96"/>
      <c r="F5" s="96"/>
      <c r="G5" s="96"/>
      <c r="H5" s="96"/>
      <c r="I5" s="96"/>
      <c r="J5" s="96"/>
      <c r="K5" s="96"/>
      <c r="L5" s="96"/>
      <c r="M5" s="96"/>
      <c r="N5" s="96"/>
      <c r="O5" s="96"/>
      <c r="P5" s="96"/>
      <c r="Q5" s="96"/>
      <c r="R5" s="96"/>
    </row>
    <row r="6" spans="1:20"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20" ht="18" x14ac:dyDescent="0.2">
      <c r="A7" s="47" t="s">
        <v>794</v>
      </c>
      <c r="B7" s="87"/>
      <c r="D7" s="31"/>
      <c r="F7" s="97"/>
      <c r="G7" s="97"/>
      <c r="H7" s="97"/>
      <c r="I7" s="31"/>
      <c r="J7" s="31"/>
      <c r="K7" s="97"/>
      <c r="L7" s="97"/>
      <c r="M7" s="97"/>
      <c r="N7" s="97"/>
      <c r="O7" s="97"/>
      <c r="P7" s="97"/>
      <c r="Q7" s="97"/>
      <c r="R7" s="97"/>
    </row>
    <row r="8" spans="1:20" ht="18" hidden="1" x14ac:dyDescent="0.2">
      <c r="A8" s="47"/>
      <c r="B8" s="87"/>
      <c r="C8" s="109" t="s">
        <v>817</v>
      </c>
      <c r="D8" s="110" t="s">
        <v>782</v>
      </c>
      <c r="F8" s="97"/>
      <c r="G8" s="97"/>
      <c r="H8" s="97"/>
      <c r="I8" s="31"/>
      <c r="J8" s="31"/>
      <c r="K8" s="97"/>
      <c r="L8" s="97"/>
      <c r="M8" s="97"/>
      <c r="N8" s="97"/>
      <c r="O8" s="97"/>
      <c r="P8" s="97"/>
      <c r="Q8" s="97"/>
      <c r="R8" s="97"/>
    </row>
    <row r="9" spans="1:20" ht="18" x14ac:dyDescent="0.2">
      <c r="A9" s="47"/>
      <c r="B9" s="87"/>
      <c r="C9" s="89" t="s">
        <v>818</v>
      </c>
      <c r="D9" s="115">
        <f>'Cash Flow %s Yr1'!D9</f>
        <v>0</v>
      </c>
      <c r="E9" s="115">
        <f>'Cash Flow %s Yr1'!E9</f>
        <v>0.05</v>
      </c>
      <c r="F9" s="115">
        <f>'Cash Flow %s Yr1'!F9</f>
        <v>0.05</v>
      </c>
      <c r="G9" s="115">
        <f>'Cash Flow %s Yr1'!G9</f>
        <v>0.09</v>
      </c>
      <c r="H9" s="115">
        <f>'Cash Flow %s Yr1'!H9</f>
        <v>0.09</v>
      </c>
      <c r="I9" s="115">
        <f>'Cash Flow %s Yr1'!I9</f>
        <v>0.09</v>
      </c>
      <c r="J9" s="115">
        <f>'Cash Flow %s Yr1'!J9</f>
        <v>0.09</v>
      </c>
      <c r="K9" s="115">
        <f>'Cash Flow %s Yr1'!K9</f>
        <v>0.09</v>
      </c>
      <c r="L9" s="115">
        <f>'Cash Flow %s Yr1'!L9</f>
        <v>0.09</v>
      </c>
      <c r="M9" s="115">
        <f>'Cash Flow %s Yr1'!M9</f>
        <v>0.09</v>
      </c>
      <c r="N9" s="115">
        <f>'Cash Flow %s Yr1'!N9</f>
        <v>0.09</v>
      </c>
      <c r="O9" s="221">
        <v>0.09</v>
      </c>
      <c r="P9" s="221">
        <v>0.09</v>
      </c>
      <c r="Q9" s="221">
        <v>0.1057</v>
      </c>
      <c r="R9" s="115">
        <v>0</v>
      </c>
      <c r="S9" s="111">
        <f>SUM(D9:R9)</f>
        <v>1.1056999999999997</v>
      </c>
      <c r="T9" s="1" t="s">
        <v>1098</v>
      </c>
    </row>
    <row r="10" spans="1:20" ht="18" hidden="1" x14ac:dyDescent="0.2">
      <c r="A10" s="47"/>
      <c r="B10" s="87"/>
      <c r="C10" s="89" t="s">
        <v>819</v>
      </c>
      <c r="D10" s="115">
        <f>'Cash Flow %s Yr1'!D10</f>
        <v>0</v>
      </c>
      <c r="E10" s="115">
        <f>'Cash Flow %s Yr1'!E10</f>
        <v>0</v>
      </c>
      <c r="F10" s="115">
        <f>'Cash Flow %s Yr1'!F10</f>
        <v>0</v>
      </c>
      <c r="G10" s="115">
        <f>'Cash Flow %s Yr1'!G10</f>
        <v>0.3478</v>
      </c>
      <c r="H10" s="115">
        <f>'Cash Flow %s Yr1'!H10</f>
        <v>0</v>
      </c>
      <c r="I10" s="115">
        <f>'Cash Flow %s Yr1'!I10</f>
        <v>0</v>
      </c>
      <c r="J10" s="115">
        <f>'Cash Flow %s Yr1'!J10</f>
        <v>0.16919999999999999</v>
      </c>
      <c r="K10" s="115">
        <f>'Cash Flow %s Yr1'!K10</f>
        <v>0</v>
      </c>
      <c r="L10" s="115">
        <f>'Cash Flow %s Yr1'!L10</f>
        <v>0.09</v>
      </c>
      <c r="M10" s="115">
        <f>'Cash Flow %s Yr1'!M10</f>
        <v>0.09</v>
      </c>
      <c r="N10" s="115">
        <f>'Cash Flow %s Yr1'!N10</f>
        <v>0.09</v>
      </c>
      <c r="O10" s="115">
        <f>'Cash Flow %s Yr1'!O10</f>
        <v>0.09</v>
      </c>
      <c r="P10" s="115">
        <f>'Cash Flow %s Yr1'!P10</f>
        <v>0.06</v>
      </c>
      <c r="Q10" s="115">
        <f>'Cash Flow %s Yr1'!Q10</f>
        <v>0.03</v>
      </c>
      <c r="R10" s="115">
        <f>'Cash Flow %s Yr1'!R10</f>
        <v>0</v>
      </c>
      <c r="S10" s="111">
        <f>SUM(D10:R10)</f>
        <v>0.96699999999999986</v>
      </c>
      <c r="T10" s="1">
        <f>'Cash Flow %s Yr1'!T10</f>
        <v>0</v>
      </c>
    </row>
    <row r="11" spans="1:20" s="31" customFormat="1" ht="18" x14ac:dyDescent="0.2">
      <c r="B11" s="70" t="s">
        <v>779</v>
      </c>
      <c r="C11" s="49"/>
      <c r="D11" s="222"/>
      <c r="E11" s="222"/>
      <c r="F11" s="222"/>
      <c r="G11" s="222"/>
      <c r="H11" s="222"/>
      <c r="I11" s="222"/>
      <c r="J11" s="222"/>
      <c r="K11" s="222"/>
      <c r="L11" s="222"/>
      <c r="M11" s="222"/>
      <c r="N11" s="222"/>
      <c r="O11" s="222"/>
      <c r="P11" s="222"/>
      <c r="Q11" s="222"/>
      <c r="R11" s="222"/>
      <c r="S11" s="111"/>
    </row>
    <row r="12" spans="1:20" s="31" customFormat="1" x14ac:dyDescent="0.2">
      <c r="A12" s="50"/>
      <c r="B12" s="65" t="str">
        <f>'Revenue Input'!B8</f>
        <v>8011</v>
      </c>
      <c r="C12" s="65" t="str">
        <f>'Revenue Input'!C8</f>
        <v>LCFF for all grades; state aid portion</v>
      </c>
      <c r="D12" s="115">
        <f>D$9</f>
        <v>0</v>
      </c>
      <c r="E12" s="115">
        <f t="shared" ref="E12:R12" si="0">E$9</f>
        <v>0.05</v>
      </c>
      <c r="F12" s="115">
        <f t="shared" si="0"/>
        <v>0.05</v>
      </c>
      <c r="G12" s="115">
        <f t="shared" si="0"/>
        <v>0.09</v>
      </c>
      <c r="H12" s="115">
        <f t="shared" si="0"/>
        <v>0.09</v>
      </c>
      <c r="I12" s="115">
        <f t="shared" si="0"/>
        <v>0.09</v>
      </c>
      <c r="J12" s="115">
        <f t="shared" si="0"/>
        <v>0.09</v>
      </c>
      <c r="K12" s="115">
        <f t="shared" si="0"/>
        <v>0.09</v>
      </c>
      <c r="L12" s="115">
        <f t="shared" si="0"/>
        <v>0.09</v>
      </c>
      <c r="M12" s="115">
        <f t="shared" si="0"/>
        <v>0.09</v>
      </c>
      <c r="N12" s="115">
        <f t="shared" si="0"/>
        <v>0.09</v>
      </c>
      <c r="O12" s="115">
        <f t="shared" si="0"/>
        <v>0.09</v>
      </c>
      <c r="P12" s="115">
        <f t="shared" si="0"/>
        <v>0.09</v>
      </c>
      <c r="Q12" s="115">
        <f t="shared" si="0"/>
        <v>0.1057</v>
      </c>
      <c r="R12" s="115">
        <f t="shared" si="0"/>
        <v>0</v>
      </c>
      <c r="S12" s="111">
        <f t="shared" ref="S12:S22" si="1">SUM(D12:R12)</f>
        <v>1.1056999999999997</v>
      </c>
    </row>
    <row r="13" spans="1:20" s="31" customFormat="1" x14ac:dyDescent="0.2">
      <c r="A13" s="50"/>
      <c r="B13" s="65" t="str">
        <f>'Revenue Input'!B9</f>
        <v>8012</v>
      </c>
      <c r="C13" s="65" t="str">
        <f>'Revenue Input'!C9</f>
        <v>LCFF for all grades; EPA portion</v>
      </c>
      <c r="D13" s="220">
        <v>0</v>
      </c>
      <c r="E13" s="220">
        <v>0</v>
      </c>
      <c r="F13" s="220">
        <v>0</v>
      </c>
      <c r="G13" s="220">
        <v>0.25</v>
      </c>
      <c r="H13" s="220">
        <v>0</v>
      </c>
      <c r="I13" s="220">
        <v>0</v>
      </c>
      <c r="J13" s="220">
        <v>0.25</v>
      </c>
      <c r="K13" s="220">
        <v>0</v>
      </c>
      <c r="L13" s="220">
        <v>0</v>
      </c>
      <c r="M13" s="220">
        <v>0.25</v>
      </c>
      <c r="N13" s="220">
        <v>0</v>
      </c>
      <c r="O13" s="220">
        <v>0</v>
      </c>
      <c r="P13" s="220">
        <v>0.25</v>
      </c>
      <c r="Q13" s="220">
        <v>0</v>
      </c>
      <c r="R13" s="220">
        <v>0</v>
      </c>
      <c r="S13" s="111">
        <f t="shared" si="1"/>
        <v>1</v>
      </c>
    </row>
    <row r="14" spans="1:20" s="31" customFormat="1" x14ac:dyDescent="0.2">
      <c r="A14" s="50"/>
      <c r="B14" s="65" t="str">
        <f>'Revenue Input'!B10</f>
        <v>8096</v>
      </c>
      <c r="C14" s="65" t="str">
        <f>'Revenue Input'!C10</f>
        <v>In-Lieu of Property Taxes, all grades</v>
      </c>
      <c r="D14" s="220">
        <v>0</v>
      </c>
      <c r="E14" s="220">
        <f>'Cash Flow %s Yr1'!E14</f>
        <v>0.12</v>
      </c>
      <c r="F14" s="220">
        <f>'Cash Flow %s Yr1'!F14</f>
        <v>0.08</v>
      </c>
      <c r="G14" s="220">
        <f>'Cash Flow %s Yr1'!G14</f>
        <v>0.08</v>
      </c>
      <c r="H14" s="220">
        <f>'Cash Flow %s Yr1'!H14</f>
        <v>0.08</v>
      </c>
      <c r="I14" s="220">
        <f>'Cash Flow %s Yr1'!I14</f>
        <v>0.08</v>
      </c>
      <c r="J14" s="220">
        <f>'Cash Flow %s Yr1'!J14</f>
        <v>0.08</v>
      </c>
      <c r="K14" s="220">
        <f>'Cash Flow %s Yr1'!K14</f>
        <v>0.14000000000000001</v>
      </c>
      <c r="L14" s="220">
        <f>'Cash Flow %s Yr1'!L14</f>
        <v>7.0000000000000007E-2</v>
      </c>
      <c r="M14" s="220">
        <f>'Cash Flow %s Yr1'!M14</f>
        <v>7.0000000000000007E-2</v>
      </c>
      <c r="N14" s="220">
        <f>'Cash Flow %s Yr1'!N14</f>
        <v>7.0000000000000007E-2</v>
      </c>
      <c r="O14" s="220">
        <f>'Cash Flow %s Yr1'!O14</f>
        <v>7.0000000000000007E-2</v>
      </c>
      <c r="P14" s="220">
        <f>'Cash Flow %s Yr1'!P14</f>
        <v>0</v>
      </c>
      <c r="Q14" s="220">
        <v>0</v>
      </c>
      <c r="R14" s="220">
        <v>0</v>
      </c>
      <c r="S14" s="111">
        <f t="shared" si="1"/>
        <v>0.94000000000000017</v>
      </c>
    </row>
    <row r="15" spans="1:20" s="31" customFormat="1" x14ac:dyDescent="0.2">
      <c r="A15" s="50"/>
      <c r="B15" s="65" t="str">
        <f>'Revenue Input'!B11</f>
        <v>8599</v>
      </c>
      <c r="C15" s="65" t="str">
        <f>'Revenue Input'!C11</f>
        <v>Prior Year Income / Adjustments</v>
      </c>
      <c r="D15" s="115">
        <f>'Cash Flow %s Yr1'!D15</f>
        <v>0.66666666666666663</v>
      </c>
      <c r="E15" s="115">
        <f>'Cash Flow %s Yr1'!E15</f>
        <v>0.33333333333333331</v>
      </c>
      <c r="F15" s="115">
        <f>'Cash Flow %s Yr1'!F15</f>
        <v>0</v>
      </c>
      <c r="G15" s="115">
        <f>'Cash Flow %s Yr1'!G15</f>
        <v>0</v>
      </c>
      <c r="H15" s="115">
        <f>'Cash Flow %s Yr1'!H15</f>
        <v>0</v>
      </c>
      <c r="I15" s="115">
        <f>'Cash Flow %s Yr1'!I15</f>
        <v>0</v>
      </c>
      <c r="J15" s="115">
        <f>'Cash Flow %s Yr1'!J15</f>
        <v>0</v>
      </c>
      <c r="K15" s="115">
        <f>'Cash Flow %s Yr1'!K15</f>
        <v>0</v>
      </c>
      <c r="L15" s="115">
        <f>'Cash Flow %s Yr1'!L15</f>
        <v>0</v>
      </c>
      <c r="M15" s="115">
        <f>'Cash Flow %s Yr1'!M15</f>
        <v>0</v>
      </c>
      <c r="N15" s="115">
        <f>'Cash Flow %s Yr1'!N15</f>
        <v>0</v>
      </c>
      <c r="O15" s="115">
        <f>'Cash Flow %s Yr1'!O15</f>
        <v>0</v>
      </c>
      <c r="P15" s="115">
        <f>'Cash Flow %s Yr1'!P15</f>
        <v>0</v>
      </c>
      <c r="Q15" s="115">
        <f>'Cash Flow %s Yr1'!Q15</f>
        <v>0</v>
      </c>
      <c r="R15" s="115">
        <f>'Cash Flow %s Yr1'!R15</f>
        <v>0</v>
      </c>
      <c r="S15" s="111">
        <f t="shared" si="1"/>
        <v>1</v>
      </c>
    </row>
    <row r="16" spans="1:20" s="31" customFormat="1" x14ac:dyDescent="0.2">
      <c r="A16" s="50"/>
      <c r="B16" s="65" t="str">
        <f>'Revenue Input'!B12</f>
        <v>8181</v>
      </c>
      <c r="C16" s="65" t="str">
        <f>'Revenue Input'!C12</f>
        <v>Special Education</v>
      </c>
      <c r="D16" s="115">
        <f>'Cash Flow %s Yr1'!D16</f>
        <v>0</v>
      </c>
      <c r="E16" s="115">
        <f>'Cash Flow %s Yr1'!E16</f>
        <v>0.05</v>
      </c>
      <c r="F16" s="115">
        <f>'Cash Flow %s Yr1'!F16</f>
        <v>0.05</v>
      </c>
      <c r="G16" s="115">
        <f>'Cash Flow %s Yr1'!G16</f>
        <v>0.09</v>
      </c>
      <c r="H16" s="115">
        <f>'Cash Flow %s Yr1'!H16</f>
        <v>0.09</v>
      </c>
      <c r="I16" s="115">
        <f>'Cash Flow %s Yr1'!I16</f>
        <v>0.09</v>
      </c>
      <c r="J16" s="115">
        <f>'Cash Flow %s Yr1'!J16</f>
        <v>0.09</v>
      </c>
      <c r="K16" s="115">
        <f>'Cash Flow %s Yr1'!K16</f>
        <v>0.09</v>
      </c>
      <c r="L16" s="115">
        <f>'Cash Flow %s Yr1'!L16</f>
        <v>0.09</v>
      </c>
      <c r="M16" s="115">
        <f>'Cash Flow %s Yr1'!M16</f>
        <v>0.09</v>
      </c>
      <c r="N16" s="115">
        <f>'Cash Flow %s Yr1'!N16</f>
        <v>0.09</v>
      </c>
      <c r="O16" s="115">
        <f>'Cash Flow %s Yr1'!O16</f>
        <v>0.09</v>
      </c>
      <c r="P16" s="115">
        <f>'Cash Flow %s Yr1'!P16</f>
        <v>0.06</v>
      </c>
      <c r="Q16" s="115">
        <f>'Cash Flow %s Yr1'!Q16</f>
        <v>0.03</v>
      </c>
      <c r="R16" s="115">
        <f>'Cash Flow %s Yr1'!R16</f>
        <v>0</v>
      </c>
      <c r="S16" s="111">
        <f t="shared" si="1"/>
        <v>0.99999999999999978</v>
      </c>
    </row>
    <row r="17" spans="1:20" s="31" customFormat="1" x14ac:dyDescent="0.2">
      <c r="A17" s="50"/>
      <c r="B17" s="65" t="str">
        <f>'Revenue Input'!B13</f>
        <v>8560</v>
      </c>
      <c r="C17" s="65" t="str">
        <f>'Revenue Input'!C13</f>
        <v>Lottery</v>
      </c>
      <c r="D17" s="115">
        <f>'Cash Flow %s Yr1'!D17</f>
        <v>0</v>
      </c>
      <c r="E17" s="115">
        <f>'Cash Flow %s Yr1'!E17</f>
        <v>0</v>
      </c>
      <c r="F17" s="115">
        <f>'Cash Flow %s Yr1'!F17</f>
        <v>0</v>
      </c>
      <c r="G17" s="115">
        <f>'Cash Flow %s Yr1'!G17</f>
        <v>0</v>
      </c>
      <c r="H17" s="115">
        <f>'Cash Flow %s Yr1'!H17</f>
        <v>0</v>
      </c>
      <c r="I17" s="115">
        <f>'Cash Flow %s Yr1'!I17</f>
        <v>0.25</v>
      </c>
      <c r="J17" s="115">
        <f>'Cash Flow %s Yr1'!J17</f>
        <v>0</v>
      </c>
      <c r="K17" s="115">
        <f>'Cash Flow %s Yr1'!K17</f>
        <v>0.25</v>
      </c>
      <c r="L17" s="115">
        <f>'Cash Flow %s Yr1'!L17</f>
        <v>0</v>
      </c>
      <c r="M17" s="115">
        <f>'Cash Flow %s Yr1'!M17</f>
        <v>0.25</v>
      </c>
      <c r="N17" s="115">
        <f>'Cash Flow %s Yr1'!N17</f>
        <v>0</v>
      </c>
      <c r="O17" s="115">
        <f>'Cash Flow %s Yr1'!O17</f>
        <v>0</v>
      </c>
      <c r="P17" s="115">
        <f>'Cash Flow %s Yr1'!P17</f>
        <v>0.25</v>
      </c>
      <c r="Q17" s="115">
        <f>'Cash Flow %s Yr1'!Q17</f>
        <v>0</v>
      </c>
      <c r="R17" s="115">
        <f>'Cash Flow %s Yr1'!R17</f>
        <v>0</v>
      </c>
      <c r="S17" s="111">
        <f t="shared" si="1"/>
        <v>1</v>
      </c>
      <c r="T17" s="1">
        <f>'Cash Flow %s Yr1'!T17</f>
        <v>0</v>
      </c>
    </row>
    <row r="18" spans="1:20" s="31" customFormat="1" x14ac:dyDescent="0.2">
      <c r="A18" s="49"/>
      <c r="B18" s="65" t="str">
        <f>'Revenue Input'!B14</f>
        <v>8520</v>
      </c>
      <c r="C18" s="65" t="str">
        <f>'Revenue Input'!C14</f>
        <v>State Child Nutrition program</v>
      </c>
      <c r="D18" s="115">
        <f>'Cash Flow %s Yr1'!D18</f>
        <v>0</v>
      </c>
      <c r="E18" s="115">
        <f>'Cash Flow %s Yr1'!E18</f>
        <v>0</v>
      </c>
      <c r="F18" s="115">
        <f>'Cash Flow %s Yr1'!F18</f>
        <v>0</v>
      </c>
      <c r="G18" s="115">
        <f>'Cash Flow %s Yr1'!G18</f>
        <v>0</v>
      </c>
      <c r="H18" s="115">
        <f>'Cash Flow %s Yr1'!H18</f>
        <v>0.1</v>
      </c>
      <c r="I18" s="115">
        <f>'Cash Flow %s Yr1'!I18</f>
        <v>0.1</v>
      </c>
      <c r="J18" s="115">
        <f>'Cash Flow %s Yr1'!J18</f>
        <v>0.1</v>
      </c>
      <c r="K18" s="115">
        <f>'Cash Flow %s Yr1'!K18</f>
        <v>0.1</v>
      </c>
      <c r="L18" s="115">
        <f>'Cash Flow %s Yr1'!L18</f>
        <v>0.1</v>
      </c>
      <c r="M18" s="115">
        <f>'Cash Flow %s Yr1'!M18</f>
        <v>0.1</v>
      </c>
      <c r="N18" s="115">
        <f>'Cash Flow %s Yr1'!N18</f>
        <v>0.1</v>
      </c>
      <c r="O18" s="115">
        <f>'Cash Flow %s Yr1'!O18</f>
        <v>0.1</v>
      </c>
      <c r="P18" s="115">
        <f>'Cash Flow %s Yr1'!P18</f>
        <v>0.1</v>
      </c>
      <c r="Q18" s="115">
        <f>'Cash Flow %s Yr1'!Q18</f>
        <v>0.1</v>
      </c>
      <c r="R18" s="115">
        <f>'Cash Flow %s Yr1'!R18</f>
        <v>0</v>
      </c>
      <c r="S18" s="111">
        <f t="shared" si="1"/>
        <v>0.99999999999999989</v>
      </c>
    </row>
    <row r="19" spans="1:20" s="31" customFormat="1" x14ac:dyDescent="0.2">
      <c r="A19" s="50"/>
      <c r="B19" s="65" t="str">
        <f>'Revenue Input'!B15</f>
        <v>8591</v>
      </c>
      <c r="C19" s="65" t="str">
        <f>'Revenue Input'!C15</f>
        <v>SB 740 Rent re-imbursement program</v>
      </c>
      <c r="D19" s="115">
        <f>'Cash Flow %s Yr1'!D19</f>
        <v>0</v>
      </c>
      <c r="E19" s="115">
        <f>'Cash Flow %s Yr1'!E19</f>
        <v>0</v>
      </c>
      <c r="F19" s="115">
        <f>'Cash Flow %s Yr1'!F19</f>
        <v>0</v>
      </c>
      <c r="G19" s="115">
        <f>'Cash Flow %s Yr1'!G19</f>
        <v>0</v>
      </c>
      <c r="H19" s="115">
        <f>'Cash Flow %s Yr1'!H19</f>
        <v>0.25</v>
      </c>
      <c r="I19" s="115">
        <f>'Cash Flow %s Yr1'!I19</f>
        <v>0</v>
      </c>
      <c r="J19" s="115">
        <f>'Cash Flow %s Yr1'!J19</f>
        <v>0</v>
      </c>
      <c r="K19" s="115">
        <f>'Cash Flow %s Yr1'!K19</f>
        <v>0.25</v>
      </c>
      <c r="L19" s="115">
        <f>'Cash Flow %s Yr1'!L19</f>
        <v>0</v>
      </c>
      <c r="M19" s="115">
        <f>'Cash Flow %s Yr1'!M19</f>
        <v>0</v>
      </c>
      <c r="N19" s="115">
        <f>'Cash Flow %s Yr1'!N19</f>
        <v>0.25</v>
      </c>
      <c r="O19" s="115">
        <f>'Cash Flow %s Yr1'!O19</f>
        <v>0</v>
      </c>
      <c r="P19" s="115">
        <f>'Cash Flow %s Yr1'!P19</f>
        <v>0</v>
      </c>
      <c r="Q19" s="115">
        <f>'Cash Flow %s Yr1'!Q19</f>
        <v>0.25</v>
      </c>
      <c r="R19" s="115">
        <f>'Cash Flow %s Yr1'!R19</f>
        <v>0</v>
      </c>
      <c r="S19" s="111">
        <f t="shared" si="1"/>
        <v>1</v>
      </c>
    </row>
    <row r="20" spans="1:20" s="31" customFormat="1" ht="18" x14ac:dyDescent="0.2">
      <c r="A20" s="47"/>
      <c r="B20" s="65" t="str">
        <f>'Revenue Input'!B16</f>
        <v>8590</v>
      </c>
      <c r="C20" s="65" t="str">
        <f>'Revenue Input'!C16</f>
        <v>Educator Effectiveness</v>
      </c>
      <c r="D20" s="115">
        <f>'Cash Flow %s Yr1'!D20</f>
        <v>0</v>
      </c>
      <c r="E20" s="115">
        <f>'Cash Flow %s Yr1'!E20</f>
        <v>0</v>
      </c>
      <c r="F20" s="115">
        <f>'Cash Flow %s Yr1'!F20</f>
        <v>0</v>
      </c>
      <c r="G20" s="115">
        <f>'Cash Flow %s Yr1'!G20</f>
        <v>0</v>
      </c>
      <c r="H20" s="115">
        <f>'Cash Flow %s Yr1'!H20</f>
        <v>0</v>
      </c>
      <c r="I20" s="115">
        <f>'Cash Flow %s Yr1'!I20</f>
        <v>0.8</v>
      </c>
      <c r="J20" s="115">
        <f>'Cash Flow %s Yr1'!J20</f>
        <v>0</v>
      </c>
      <c r="K20" s="115">
        <f>'Cash Flow %s Yr1'!K20</f>
        <v>0</v>
      </c>
      <c r="L20" s="115">
        <f>'Cash Flow %s Yr1'!L20</f>
        <v>0.2</v>
      </c>
      <c r="M20" s="115">
        <f>'Cash Flow %s Yr1'!M20</f>
        <v>0</v>
      </c>
      <c r="N20" s="115">
        <f>'Cash Flow %s Yr1'!N20</f>
        <v>0</v>
      </c>
      <c r="O20" s="115">
        <f>'Cash Flow %s Yr1'!O20</f>
        <v>0</v>
      </c>
      <c r="P20" s="115">
        <f>'Cash Flow %s Yr1'!P20</f>
        <v>0</v>
      </c>
      <c r="Q20" s="115">
        <f>'Cash Flow %s Yr1'!Q20</f>
        <v>0</v>
      </c>
      <c r="R20" s="115">
        <f>'Cash Flow %s Yr1'!R20</f>
        <v>0</v>
      </c>
      <c r="S20" s="111">
        <f t="shared" si="1"/>
        <v>1</v>
      </c>
    </row>
    <row r="21" spans="1:20" s="31" customFormat="1" ht="18" x14ac:dyDescent="0.2">
      <c r="A21" s="47"/>
      <c r="B21" s="65" t="str">
        <f>'Revenue Input'!B17</f>
        <v>8550</v>
      </c>
      <c r="C21" s="65" t="str">
        <f>'Revenue Input'!C17</f>
        <v>Mandate Block Grant</v>
      </c>
      <c r="D21" s="115">
        <f>'Cash Flow %s Yr1'!D21</f>
        <v>0</v>
      </c>
      <c r="E21" s="115">
        <f>'Cash Flow %s Yr1'!E21</f>
        <v>0</v>
      </c>
      <c r="F21" s="115">
        <f>'Cash Flow %s Yr1'!F21</f>
        <v>0.5</v>
      </c>
      <c r="G21" s="115">
        <f>'Cash Flow %s Yr1'!G21</f>
        <v>0</v>
      </c>
      <c r="H21" s="115">
        <f>'Cash Flow %s Yr1'!H21</f>
        <v>0</v>
      </c>
      <c r="I21" s="115">
        <f>'Cash Flow %s Yr1'!I21</f>
        <v>0</v>
      </c>
      <c r="J21" s="115">
        <f>'Cash Flow %s Yr1'!J21</f>
        <v>0.5</v>
      </c>
      <c r="K21" s="115">
        <f>'Cash Flow %s Yr1'!K21</f>
        <v>0</v>
      </c>
      <c r="L21" s="115">
        <f>'Cash Flow %s Yr1'!L21</f>
        <v>0</v>
      </c>
      <c r="M21" s="115">
        <f>'Cash Flow %s Yr1'!M21</f>
        <v>0</v>
      </c>
      <c r="N21" s="115">
        <f>'Cash Flow %s Yr1'!N21</f>
        <v>0</v>
      </c>
      <c r="O21" s="115">
        <f>'Cash Flow %s Yr1'!O21</f>
        <v>0</v>
      </c>
      <c r="P21" s="115">
        <f>'Cash Flow %s Yr1'!P21</f>
        <v>0</v>
      </c>
      <c r="Q21" s="115">
        <f>'Cash Flow %s Yr1'!Q21</f>
        <v>0</v>
      </c>
      <c r="R21" s="115">
        <f>'Cash Flow %s Yr1'!R21</f>
        <v>0</v>
      </c>
      <c r="S21" s="111">
        <f>SUM(D21:R21)</f>
        <v>1</v>
      </c>
    </row>
    <row r="22" spans="1:20" s="31" customFormat="1" ht="18" x14ac:dyDescent="0.2">
      <c r="A22" s="47"/>
      <c r="B22" s="65" t="str">
        <f>'Revenue Input'!B18</f>
        <v>8550</v>
      </c>
      <c r="C22" s="65" t="str">
        <f>'Revenue Input'!C18</f>
        <v>One Time Block Grant</v>
      </c>
      <c r="D22" s="115">
        <f>'Cash Flow %s Yr1'!D22</f>
        <v>0</v>
      </c>
      <c r="E22" s="115">
        <f>'Cash Flow %s Yr1'!E22</f>
        <v>0</v>
      </c>
      <c r="F22" s="115">
        <f>'Cash Flow %s Yr1'!F22</f>
        <v>0</v>
      </c>
      <c r="G22" s="115">
        <f>'Cash Flow %s Yr1'!G22</f>
        <v>0</v>
      </c>
      <c r="H22" s="115">
        <f>'Cash Flow %s Yr1'!H22</f>
        <v>0</v>
      </c>
      <c r="I22" s="115">
        <f>'Cash Flow %s Yr1'!I22</f>
        <v>0.8</v>
      </c>
      <c r="J22" s="115">
        <f>'Cash Flow %s Yr1'!J22</f>
        <v>0</v>
      </c>
      <c r="K22" s="115">
        <f>'Cash Flow %s Yr1'!K22</f>
        <v>0</v>
      </c>
      <c r="L22" s="115">
        <f>'Cash Flow %s Yr1'!L22</f>
        <v>0.2</v>
      </c>
      <c r="M22" s="115">
        <f>'Cash Flow %s Yr1'!M22</f>
        <v>0</v>
      </c>
      <c r="N22" s="115">
        <f>'Cash Flow %s Yr1'!N22</f>
        <v>0</v>
      </c>
      <c r="O22" s="115">
        <f>'Cash Flow %s Yr1'!O22</f>
        <v>0</v>
      </c>
      <c r="P22" s="115">
        <f>'Cash Flow %s Yr1'!P22</f>
        <v>0</v>
      </c>
      <c r="Q22" s="115">
        <f>'Cash Flow %s Yr1'!Q22</f>
        <v>0</v>
      </c>
      <c r="R22" s="115">
        <f>'Cash Flow %s Yr1'!R22</f>
        <v>0</v>
      </c>
      <c r="S22" s="111">
        <f t="shared" si="1"/>
        <v>1</v>
      </c>
    </row>
    <row r="23" spans="1:20" s="31" customFormat="1" ht="18" x14ac:dyDescent="0.2">
      <c r="A23" s="47"/>
      <c r="B23" s="72"/>
      <c r="C23" s="50"/>
      <c r="D23" s="120"/>
      <c r="E23" s="120"/>
      <c r="F23" s="120"/>
      <c r="G23" s="120"/>
      <c r="H23" s="120"/>
      <c r="I23" s="120"/>
      <c r="J23" s="120"/>
      <c r="K23" s="120"/>
      <c r="L23" s="120"/>
      <c r="M23" s="120"/>
      <c r="N23" s="120"/>
      <c r="O23" s="120"/>
      <c r="P23" s="120"/>
      <c r="Q23" s="120"/>
      <c r="R23" s="121"/>
      <c r="S23" s="111"/>
    </row>
    <row r="24" spans="1:20" s="31" customFormat="1" ht="18" x14ac:dyDescent="0.2">
      <c r="A24" s="47"/>
      <c r="B24" s="72"/>
      <c r="C24" s="50"/>
      <c r="D24" s="119"/>
      <c r="E24" s="119"/>
      <c r="F24" s="119"/>
      <c r="G24" s="119"/>
      <c r="H24" s="119"/>
      <c r="I24" s="119"/>
      <c r="J24" s="119"/>
      <c r="K24" s="119"/>
      <c r="L24" s="119"/>
      <c r="M24" s="119"/>
      <c r="N24" s="119"/>
      <c r="O24" s="119"/>
      <c r="P24" s="119"/>
      <c r="Q24" s="119"/>
      <c r="R24" s="119"/>
      <c r="S24" s="111"/>
    </row>
    <row r="25" spans="1:20" s="31" customFormat="1" ht="18" x14ac:dyDescent="0.2">
      <c r="B25" s="47" t="s">
        <v>785</v>
      </c>
      <c r="C25" s="50"/>
      <c r="D25" s="119"/>
      <c r="E25" s="119"/>
      <c r="F25" s="119"/>
      <c r="G25" s="119"/>
      <c r="H25" s="119"/>
      <c r="I25" s="119"/>
      <c r="J25" s="119"/>
      <c r="K25" s="119"/>
      <c r="L25" s="119"/>
      <c r="M25" s="119"/>
      <c r="N25" s="119"/>
      <c r="O25" s="119"/>
      <c r="P25" s="119"/>
      <c r="Q25" s="119"/>
      <c r="R25" s="119"/>
      <c r="S25" s="111"/>
    </row>
    <row r="26" spans="1:20" s="31" customFormat="1" ht="18" x14ac:dyDescent="0.2">
      <c r="A26" s="47"/>
      <c r="B26" s="65" t="str">
        <f>'Revenue Input'!B22</f>
        <v>8220</v>
      </c>
      <c r="C26" s="65" t="str">
        <f>'Revenue Input'!C22</f>
        <v>Federal Child Nutrition Programs</v>
      </c>
      <c r="D26" s="115">
        <f>'Cash Flow %s Yr1'!D26</f>
        <v>0</v>
      </c>
      <c r="E26" s="115">
        <f>'Cash Flow %s Yr1'!E26</f>
        <v>0</v>
      </c>
      <c r="F26" s="115">
        <f>'Cash Flow %s Yr1'!F26</f>
        <v>0</v>
      </c>
      <c r="G26" s="115">
        <f>'Cash Flow %s Yr1'!G26</f>
        <v>0</v>
      </c>
      <c r="H26" s="115">
        <f>'Cash Flow %s Yr1'!H26</f>
        <v>0.1</v>
      </c>
      <c r="I26" s="115">
        <f>'Cash Flow %s Yr1'!I26</f>
        <v>0.1</v>
      </c>
      <c r="J26" s="115">
        <f>'Cash Flow %s Yr1'!J26</f>
        <v>0.1</v>
      </c>
      <c r="K26" s="115">
        <f>'Cash Flow %s Yr1'!K26</f>
        <v>0.1</v>
      </c>
      <c r="L26" s="115">
        <f>'Cash Flow %s Yr1'!L26</f>
        <v>0.1</v>
      </c>
      <c r="M26" s="115">
        <f>'Cash Flow %s Yr1'!M26</f>
        <v>0.1</v>
      </c>
      <c r="N26" s="115">
        <f>'Cash Flow %s Yr1'!N26</f>
        <v>0.1</v>
      </c>
      <c r="O26" s="115">
        <f>'Cash Flow %s Yr1'!O26</f>
        <v>0.1</v>
      </c>
      <c r="P26" s="115">
        <f>'Cash Flow %s Yr1'!P26</f>
        <v>0.1</v>
      </c>
      <c r="Q26" s="115">
        <f>'Cash Flow %s Yr1'!Q26</f>
        <v>0.1</v>
      </c>
      <c r="R26" s="115">
        <f>'Cash Flow %s Yr1'!R26</f>
        <v>0</v>
      </c>
      <c r="S26" s="111">
        <f t="shared" ref="S26:S33" si="2">SUM(D26:R26)</f>
        <v>0.99999999999999989</v>
      </c>
    </row>
    <row r="27" spans="1:20" s="31" customFormat="1" ht="18" x14ac:dyDescent="0.2">
      <c r="A27" s="47"/>
      <c r="B27" s="65" t="str">
        <f>'Revenue Input'!B23</f>
        <v>8290</v>
      </c>
      <c r="C27" s="65" t="str">
        <f>'Revenue Input'!C23</f>
        <v>All Other Federal Revenue, inc Facilities Incentive Grants program</v>
      </c>
      <c r="D27" s="115">
        <f>'Cash Flow %s Yr1'!D27</f>
        <v>0</v>
      </c>
      <c r="E27" s="115">
        <f>'Cash Flow %s Yr1'!E27</f>
        <v>0</v>
      </c>
      <c r="F27" s="115">
        <f>'Cash Flow %s Yr1'!F27</f>
        <v>0</v>
      </c>
      <c r="G27" s="115">
        <f>'Cash Flow %s Yr1'!G27</f>
        <v>0</v>
      </c>
      <c r="H27" s="115">
        <f>'Cash Flow %s Yr1'!H27</f>
        <v>0</v>
      </c>
      <c r="I27" s="115">
        <f>'Cash Flow %s Yr1'!I27</f>
        <v>0</v>
      </c>
      <c r="J27" s="115">
        <f>'Cash Flow %s Yr1'!J27</f>
        <v>0.25</v>
      </c>
      <c r="K27" s="115">
        <f>'Cash Flow %s Yr1'!K27</f>
        <v>0</v>
      </c>
      <c r="L27" s="115">
        <f>'Cash Flow %s Yr1'!L27</f>
        <v>0</v>
      </c>
      <c r="M27" s="115">
        <f>'Cash Flow %s Yr1'!M27</f>
        <v>0.5</v>
      </c>
      <c r="N27" s="115">
        <f>'Cash Flow %s Yr1'!N27</f>
        <v>0</v>
      </c>
      <c r="O27" s="115">
        <f>'Cash Flow %s Yr1'!O27</f>
        <v>0.25</v>
      </c>
      <c r="P27" s="115">
        <f>'Cash Flow %s Yr1'!P27</f>
        <v>0</v>
      </c>
      <c r="Q27" s="115">
        <f>'Cash Flow %s Yr1'!Q27</f>
        <v>0</v>
      </c>
      <c r="R27" s="115">
        <f>'Cash Flow %s Yr1'!R27</f>
        <v>0</v>
      </c>
      <c r="S27" s="111">
        <f t="shared" si="2"/>
        <v>1</v>
      </c>
    </row>
    <row r="28" spans="1:20" s="31" customFormat="1" ht="18" x14ac:dyDescent="0.2">
      <c r="A28" s="47"/>
      <c r="B28" s="65" t="str">
        <f>'Revenue Input'!B24</f>
        <v>8291</v>
      </c>
      <c r="C28" s="65" t="str">
        <f>'Revenue Input'!C24</f>
        <v>Title I</v>
      </c>
      <c r="D28" s="115">
        <f>'Cash Flow %s Yr1'!D28</f>
        <v>0</v>
      </c>
      <c r="E28" s="115">
        <f>'Cash Flow %s Yr1'!E28</f>
        <v>0</v>
      </c>
      <c r="F28" s="115">
        <f>'Cash Flow %s Yr1'!F28</f>
        <v>0</v>
      </c>
      <c r="G28" s="115">
        <f>'Cash Flow %s Yr1'!G28</f>
        <v>0</v>
      </c>
      <c r="H28" s="115">
        <f>'Cash Flow %s Yr1'!H28</f>
        <v>0</v>
      </c>
      <c r="I28" s="115">
        <f>'Cash Flow %s Yr1'!I28</f>
        <v>0</v>
      </c>
      <c r="J28" s="115">
        <f>'Cash Flow %s Yr1'!J28</f>
        <v>0.25</v>
      </c>
      <c r="K28" s="115">
        <f>'Cash Flow %s Yr1'!K28</f>
        <v>0</v>
      </c>
      <c r="L28" s="115">
        <f>'Cash Flow %s Yr1'!L28</f>
        <v>0</v>
      </c>
      <c r="M28" s="115">
        <f>'Cash Flow %s Yr1'!M28</f>
        <v>0.5</v>
      </c>
      <c r="N28" s="115">
        <f>'Cash Flow %s Yr1'!N28</f>
        <v>0</v>
      </c>
      <c r="O28" s="115">
        <f>'Cash Flow %s Yr1'!O28</f>
        <v>0.25</v>
      </c>
      <c r="P28" s="115">
        <f>'Cash Flow %s Yr1'!P28</f>
        <v>0</v>
      </c>
      <c r="Q28" s="115">
        <f>'Cash Flow %s Yr1'!Q28</f>
        <v>0</v>
      </c>
      <c r="R28" s="115">
        <f>'Cash Flow %s Yr1'!R28</f>
        <v>0</v>
      </c>
      <c r="S28" s="111">
        <f t="shared" si="2"/>
        <v>1</v>
      </c>
    </row>
    <row r="29" spans="1:20" s="31" customFormat="1" ht="18" x14ac:dyDescent="0.2">
      <c r="A29" s="47"/>
      <c r="B29" s="65" t="str">
        <f>'Revenue Input'!B25</f>
        <v>8292</v>
      </c>
      <c r="C29" s="65" t="str">
        <f>'Revenue Input'!C25</f>
        <v>Title II</v>
      </c>
      <c r="D29" s="115">
        <f>'Cash Flow %s Yr1'!D29</f>
        <v>0</v>
      </c>
      <c r="E29" s="115">
        <f>'Cash Flow %s Yr1'!E29</f>
        <v>0</v>
      </c>
      <c r="F29" s="115">
        <f>'Cash Flow %s Yr1'!F29</f>
        <v>0</v>
      </c>
      <c r="G29" s="115">
        <f>'Cash Flow %s Yr1'!G29</f>
        <v>0</v>
      </c>
      <c r="H29" s="115">
        <f>'Cash Flow %s Yr1'!H29</f>
        <v>0</v>
      </c>
      <c r="I29" s="115">
        <f>'Cash Flow %s Yr1'!I29</f>
        <v>0</v>
      </c>
      <c r="J29" s="115">
        <f>'Cash Flow %s Yr1'!J29</f>
        <v>0.25</v>
      </c>
      <c r="K29" s="115">
        <f>'Cash Flow %s Yr1'!K29</f>
        <v>0</v>
      </c>
      <c r="L29" s="115">
        <f>'Cash Flow %s Yr1'!L29</f>
        <v>0</v>
      </c>
      <c r="M29" s="115">
        <f>'Cash Flow %s Yr1'!M29</f>
        <v>0.5</v>
      </c>
      <c r="N29" s="115">
        <f>'Cash Flow %s Yr1'!N29</f>
        <v>0</v>
      </c>
      <c r="O29" s="115">
        <f>'Cash Flow %s Yr1'!O29</f>
        <v>0.25</v>
      </c>
      <c r="P29" s="115">
        <f>'Cash Flow %s Yr1'!P29</f>
        <v>0</v>
      </c>
      <c r="Q29" s="115">
        <f>'Cash Flow %s Yr1'!Q29</f>
        <v>0</v>
      </c>
      <c r="R29" s="115">
        <f>'Cash Flow %s Yr1'!R29</f>
        <v>0</v>
      </c>
      <c r="S29" s="111">
        <f t="shared" si="2"/>
        <v>1</v>
      </c>
    </row>
    <row r="30" spans="1:20" s="31" customFormat="1" ht="18" x14ac:dyDescent="0.2">
      <c r="A30" s="47"/>
      <c r="B30" s="65" t="str">
        <f>'Revenue Input'!B26</f>
        <v>8293</v>
      </c>
      <c r="C30" s="65" t="str">
        <f>'Revenue Input'!C26</f>
        <v>Title III</v>
      </c>
      <c r="D30" s="115">
        <f>'Cash Flow %s Yr1'!D30</f>
        <v>0</v>
      </c>
      <c r="E30" s="115">
        <f>'Cash Flow %s Yr1'!E30</f>
        <v>0</v>
      </c>
      <c r="F30" s="115">
        <f>'Cash Flow %s Yr1'!F30</f>
        <v>0</v>
      </c>
      <c r="G30" s="115">
        <f>'Cash Flow %s Yr1'!G30</f>
        <v>0</v>
      </c>
      <c r="H30" s="115">
        <f>'Cash Flow %s Yr1'!H30</f>
        <v>0</v>
      </c>
      <c r="I30" s="115">
        <f>'Cash Flow %s Yr1'!I30</f>
        <v>0</v>
      </c>
      <c r="J30" s="115">
        <f>'Cash Flow %s Yr1'!J30</f>
        <v>0.25</v>
      </c>
      <c r="K30" s="115">
        <f>'Cash Flow %s Yr1'!K30</f>
        <v>0</v>
      </c>
      <c r="L30" s="115">
        <f>'Cash Flow %s Yr1'!L30</f>
        <v>0</v>
      </c>
      <c r="M30" s="115">
        <f>'Cash Flow %s Yr1'!M30</f>
        <v>0.5</v>
      </c>
      <c r="N30" s="115">
        <f>'Cash Flow %s Yr1'!N30</f>
        <v>0</v>
      </c>
      <c r="O30" s="115">
        <f>'Cash Flow %s Yr1'!O30</f>
        <v>0.25</v>
      </c>
      <c r="P30" s="115">
        <f>'Cash Flow %s Yr1'!P30</f>
        <v>0</v>
      </c>
      <c r="Q30" s="115">
        <f>'Cash Flow %s Yr1'!Q30</f>
        <v>0</v>
      </c>
      <c r="R30" s="115">
        <f>'Cash Flow %s Yr1'!R30</f>
        <v>0</v>
      </c>
      <c r="S30" s="111">
        <f t="shared" si="2"/>
        <v>1</v>
      </c>
    </row>
    <row r="31" spans="1:20" s="31" customFormat="1" ht="18" x14ac:dyDescent="0.2">
      <c r="A31" s="47"/>
      <c r="B31" s="65" t="str">
        <f>'Revenue Input'!B27</f>
        <v>8294</v>
      </c>
      <c r="C31" s="65" t="str">
        <f>'Revenue Input'!C27</f>
        <v>Title IV</v>
      </c>
      <c r="D31" s="115">
        <f>'Cash Flow %s Yr1'!D31</f>
        <v>0</v>
      </c>
      <c r="E31" s="115">
        <f>'Cash Flow %s Yr1'!E31</f>
        <v>0</v>
      </c>
      <c r="F31" s="115">
        <f>'Cash Flow %s Yr1'!F31</f>
        <v>0</v>
      </c>
      <c r="G31" s="115">
        <f>'Cash Flow %s Yr1'!G31</f>
        <v>0</v>
      </c>
      <c r="H31" s="115">
        <f>'Cash Flow %s Yr1'!H31</f>
        <v>0</v>
      </c>
      <c r="I31" s="115">
        <f>'Cash Flow %s Yr1'!I31</f>
        <v>0</v>
      </c>
      <c r="J31" s="115">
        <f>'Cash Flow %s Yr1'!J31</f>
        <v>0.25</v>
      </c>
      <c r="K31" s="115">
        <f>'Cash Flow %s Yr1'!K31</f>
        <v>0</v>
      </c>
      <c r="L31" s="115">
        <f>'Cash Flow %s Yr1'!L31</f>
        <v>0</v>
      </c>
      <c r="M31" s="115">
        <f>'Cash Flow %s Yr1'!M31</f>
        <v>0.5</v>
      </c>
      <c r="N31" s="115">
        <f>'Cash Flow %s Yr1'!N31</f>
        <v>0</v>
      </c>
      <c r="O31" s="115">
        <f>'Cash Flow %s Yr1'!O31</f>
        <v>0.25</v>
      </c>
      <c r="P31" s="115">
        <f>'Cash Flow %s Yr1'!P31</f>
        <v>0</v>
      </c>
      <c r="Q31" s="115">
        <f>'Cash Flow %s Yr1'!Q31</f>
        <v>0</v>
      </c>
      <c r="R31" s="115">
        <f>'Cash Flow %s Yr1'!R31</f>
        <v>0</v>
      </c>
      <c r="S31" s="111">
        <f t="shared" si="2"/>
        <v>1</v>
      </c>
    </row>
    <row r="32" spans="1:20" s="31" customFormat="1" ht="18" x14ac:dyDescent="0.2">
      <c r="A32" s="47"/>
      <c r="B32" s="65" t="str">
        <f>'Revenue Input'!B28</f>
        <v>8295</v>
      </c>
      <c r="C32" s="65" t="str">
        <f>'Revenue Input'!C28</f>
        <v>Title V</v>
      </c>
      <c r="D32" s="115">
        <f>'Cash Flow %s Yr1'!D32</f>
        <v>0</v>
      </c>
      <c r="E32" s="115">
        <f>'Cash Flow %s Yr1'!E32</f>
        <v>0</v>
      </c>
      <c r="F32" s="115">
        <f>'Cash Flow %s Yr1'!F32</f>
        <v>1</v>
      </c>
      <c r="G32" s="115">
        <f>'Cash Flow %s Yr1'!G32</f>
        <v>0</v>
      </c>
      <c r="H32" s="115">
        <f>'Cash Flow %s Yr1'!H32</f>
        <v>0</v>
      </c>
      <c r="I32" s="115">
        <f>'Cash Flow %s Yr1'!I32</f>
        <v>0</v>
      </c>
      <c r="J32" s="115">
        <f>'Cash Flow %s Yr1'!J32</f>
        <v>0</v>
      </c>
      <c r="K32" s="115">
        <f>'Cash Flow %s Yr1'!K32</f>
        <v>0</v>
      </c>
      <c r="L32" s="115">
        <f>'Cash Flow %s Yr1'!L32</f>
        <v>0</v>
      </c>
      <c r="M32" s="115">
        <f>'Cash Flow %s Yr1'!M32</f>
        <v>0</v>
      </c>
      <c r="N32" s="115">
        <f>'Cash Flow %s Yr1'!N32</f>
        <v>0</v>
      </c>
      <c r="O32" s="115">
        <f>'Cash Flow %s Yr1'!O32</f>
        <v>0</v>
      </c>
      <c r="P32" s="115">
        <f>'Cash Flow %s Yr1'!P32</f>
        <v>0</v>
      </c>
      <c r="Q32" s="115">
        <f>'Cash Flow %s Yr1'!Q32</f>
        <v>0</v>
      </c>
      <c r="R32" s="115">
        <f>'Cash Flow %s Yr1'!R32</f>
        <v>0</v>
      </c>
      <c r="S32" s="111">
        <f t="shared" si="2"/>
        <v>1</v>
      </c>
    </row>
    <row r="33" spans="1:19" s="31" customFormat="1" ht="18" x14ac:dyDescent="0.2">
      <c r="A33" s="47"/>
      <c r="B33" s="65" t="str">
        <f>'Revenue Input'!B29</f>
        <v>8299</v>
      </c>
      <c r="C33" s="65" t="str">
        <f>'Revenue Input'!C29</f>
        <v>Prior Year Federal Revenue</v>
      </c>
      <c r="D33" s="115">
        <f>'Cash Flow %s Yr1'!D33</f>
        <v>0</v>
      </c>
      <c r="E33" s="115">
        <f>'Cash Flow %s Yr1'!E33</f>
        <v>0</v>
      </c>
      <c r="F33" s="115">
        <f>'Cash Flow %s Yr1'!I33</f>
        <v>0.5</v>
      </c>
      <c r="G33" s="115">
        <f>'Cash Flow %s Yr1'!G33</f>
        <v>0</v>
      </c>
      <c r="H33" s="115">
        <f>'Cash Flow %s Yr1'!H33</f>
        <v>0</v>
      </c>
      <c r="I33" s="115" t="e">
        <f>'Cash Flow %s Yr1'!#REF!</f>
        <v>#REF!</v>
      </c>
      <c r="J33" s="115">
        <f>'Cash Flow %s Yr1'!J33</f>
        <v>0</v>
      </c>
      <c r="K33" s="115">
        <f>'Cash Flow %s Yr1'!K33</f>
        <v>0.4</v>
      </c>
      <c r="L33" s="115">
        <f>'Cash Flow %s Yr1'!L33</f>
        <v>0</v>
      </c>
      <c r="M33" s="115">
        <f>'Cash Flow %s Yr1'!M33</f>
        <v>0</v>
      </c>
      <c r="N33" s="115">
        <f>'Cash Flow %s Yr1'!N33</f>
        <v>0.1</v>
      </c>
      <c r="O33" s="115">
        <f>'Cash Flow %s Yr1'!O33</f>
        <v>0</v>
      </c>
      <c r="P33" s="115">
        <f>'Cash Flow %s Yr1'!P33</f>
        <v>0</v>
      </c>
      <c r="Q33" s="115">
        <f>'Cash Flow %s Yr1'!Q33</f>
        <v>0</v>
      </c>
      <c r="R33" s="115">
        <f>'Cash Flow %s Yr1'!R33</f>
        <v>0</v>
      </c>
      <c r="S33" s="111" t="e">
        <f t="shared" si="2"/>
        <v>#REF!</v>
      </c>
    </row>
    <row r="34" spans="1:19" s="31" customFormat="1" ht="18" x14ac:dyDescent="0.2">
      <c r="A34" s="47"/>
      <c r="B34" s="72"/>
      <c r="C34" s="50"/>
      <c r="D34" s="120"/>
      <c r="E34" s="120"/>
      <c r="F34" s="120"/>
      <c r="G34" s="120"/>
      <c r="H34" s="120"/>
      <c r="I34" s="120"/>
      <c r="J34" s="120"/>
      <c r="K34" s="120"/>
      <c r="L34" s="120"/>
      <c r="M34" s="120"/>
      <c r="N34" s="120"/>
      <c r="O34" s="120"/>
      <c r="P34" s="120"/>
      <c r="Q34" s="120"/>
      <c r="R34" s="120"/>
      <c r="S34" s="111"/>
    </row>
    <row r="35" spans="1:19" s="31" customFormat="1" ht="18" x14ac:dyDescent="0.2">
      <c r="A35" s="47"/>
      <c r="B35" s="72"/>
      <c r="C35" s="50"/>
      <c r="D35" s="123"/>
      <c r="E35" s="123"/>
      <c r="F35" s="123"/>
      <c r="G35" s="123"/>
      <c r="H35" s="123"/>
      <c r="I35" s="123"/>
      <c r="J35" s="123"/>
      <c r="K35" s="123"/>
      <c r="L35" s="123"/>
      <c r="M35" s="123"/>
      <c r="N35" s="123"/>
      <c r="O35" s="123"/>
      <c r="P35" s="123"/>
      <c r="Q35" s="123"/>
      <c r="R35" s="123"/>
      <c r="S35" s="111"/>
    </row>
    <row r="36" spans="1:19" s="31" customFormat="1" ht="18" x14ac:dyDescent="0.2">
      <c r="B36" s="47" t="s">
        <v>795</v>
      </c>
      <c r="C36" s="50"/>
      <c r="D36" s="123"/>
      <c r="E36" s="123"/>
      <c r="F36" s="123"/>
      <c r="G36" s="123"/>
      <c r="H36" s="123"/>
      <c r="I36" s="123"/>
      <c r="J36" s="123"/>
      <c r="K36" s="123"/>
      <c r="L36" s="123"/>
      <c r="M36" s="123"/>
      <c r="N36" s="123"/>
      <c r="O36" s="123"/>
      <c r="P36" s="123"/>
      <c r="Q36" s="123"/>
      <c r="R36" s="123"/>
      <c r="S36" s="111"/>
    </row>
    <row r="37" spans="1:19" s="31" customFormat="1" ht="18" x14ac:dyDescent="0.2">
      <c r="A37" s="47"/>
      <c r="B37" s="65" t="str">
        <f>'Revenue Input'!B33</f>
        <v>8660</v>
      </c>
      <c r="C37" s="65" t="str">
        <f>'Revenue Input'!C33</f>
        <v>Interest</v>
      </c>
      <c r="D37" s="115">
        <f>'Cash Flow %s Yr1'!D37</f>
        <v>8.3000000000000004E-2</v>
      </c>
      <c r="E37" s="115">
        <f>'Cash Flow %s Yr1'!E37</f>
        <v>8.3000000000000004E-2</v>
      </c>
      <c r="F37" s="115">
        <f>'Cash Flow %s Yr1'!F37</f>
        <v>8.3000000000000004E-2</v>
      </c>
      <c r="G37" s="115">
        <f>'Cash Flow %s Yr1'!G37</f>
        <v>8.3000000000000004E-2</v>
      </c>
      <c r="H37" s="115">
        <f>'Cash Flow %s Yr1'!H37</f>
        <v>8.3000000000000004E-2</v>
      </c>
      <c r="I37" s="115">
        <f>'Cash Flow %s Yr1'!I37</f>
        <v>8.3000000000000004E-2</v>
      </c>
      <c r="J37" s="115">
        <f>'Cash Flow %s Yr1'!J37</f>
        <v>8.3000000000000004E-2</v>
      </c>
      <c r="K37" s="115">
        <f>'Cash Flow %s Yr1'!K37</f>
        <v>8.3000000000000004E-2</v>
      </c>
      <c r="L37" s="115">
        <f>'Cash Flow %s Yr1'!L37</f>
        <v>8.4000000000000005E-2</v>
      </c>
      <c r="M37" s="115">
        <f>'Cash Flow %s Yr1'!M37</f>
        <v>8.4000000000000005E-2</v>
      </c>
      <c r="N37" s="115">
        <f>'Cash Flow %s Yr1'!N37</f>
        <v>8.4000000000000005E-2</v>
      </c>
      <c r="O37" s="115">
        <f>'Cash Flow %s Yr1'!O37</f>
        <v>8.4000000000000005E-2</v>
      </c>
      <c r="P37" s="115">
        <f>'Cash Flow %s Yr1'!P37</f>
        <v>0</v>
      </c>
      <c r="Q37" s="115">
        <f>'Cash Flow %s Yr1'!Q37</f>
        <v>0</v>
      </c>
      <c r="R37" s="115">
        <f>'Cash Flow %s Yr1'!R37</f>
        <v>0</v>
      </c>
      <c r="S37" s="111">
        <f t="shared" ref="S37:S49" si="3">SUM(D37:R37)</f>
        <v>0.99999999999999989</v>
      </c>
    </row>
    <row r="38" spans="1:19" s="31" customFormat="1" ht="18" x14ac:dyDescent="0.2">
      <c r="A38" s="47"/>
      <c r="B38" s="65" t="str">
        <f>'Revenue Input'!B34</f>
        <v>8782</v>
      </c>
      <c r="C38" s="65" t="str">
        <f>'Revenue Input'!C34</f>
        <v>All Other Transfers from County Offices</v>
      </c>
      <c r="D38" s="115">
        <f>'Cash Flow %s Yr1'!D38</f>
        <v>0</v>
      </c>
      <c r="E38" s="115">
        <f>'Cash Flow %s Yr1'!E38</f>
        <v>0</v>
      </c>
      <c r="F38" s="115">
        <f>'Cash Flow %s Yr1'!F38</f>
        <v>0.1</v>
      </c>
      <c r="G38" s="115">
        <f>'Cash Flow %s Yr1'!G38</f>
        <v>0.1</v>
      </c>
      <c r="H38" s="115">
        <f>'Cash Flow %s Yr1'!H38</f>
        <v>0.1</v>
      </c>
      <c r="I38" s="115">
        <f>'Cash Flow %s Yr1'!I38</f>
        <v>0.1</v>
      </c>
      <c r="J38" s="115">
        <f>'Cash Flow %s Yr1'!J38</f>
        <v>0.1</v>
      </c>
      <c r="K38" s="115">
        <f>'Cash Flow %s Yr1'!K38</f>
        <v>0.1</v>
      </c>
      <c r="L38" s="115">
        <f>'Cash Flow %s Yr1'!L38</f>
        <v>0.1</v>
      </c>
      <c r="M38" s="115">
        <f>'Cash Flow %s Yr1'!M38</f>
        <v>0.1</v>
      </c>
      <c r="N38" s="115">
        <f>'Cash Flow %s Yr1'!N38</f>
        <v>0.1</v>
      </c>
      <c r="O38" s="115">
        <f>'Cash Flow %s Yr1'!O38</f>
        <v>0.1</v>
      </c>
      <c r="P38" s="115">
        <f>'Cash Flow %s Yr1'!P38</f>
        <v>0</v>
      </c>
      <c r="Q38" s="115">
        <f>'Cash Flow %s Yr1'!Q38</f>
        <v>0</v>
      </c>
      <c r="R38" s="115">
        <f>'Cash Flow %s Yr1'!R38</f>
        <v>0</v>
      </c>
      <c r="S38" s="111">
        <f t="shared" si="3"/>
        <v>0.99999999999999989</v>
      </c>
    </row>
    <row r="39" spans="1:19" s="31" customFormat="1" ht="18" x14ac:dyDescent="0.2">
      <c r="A39" s="47"/>
      <c r="B39" s="65" t="str">
        <f>'Revenue Input'!B35</f>
        <v>8784</v>
      </c>
      <c r="C39" s="65" t="str">
        <f>'Revenue Input'!C35</f>
        <v>All Other Transfers from Other Locations</v>
      </c>
      <c r="D39" s="115">
        <f>'Cash Flow %s Yr1'!D39</f>
        <v>0</v>
      </c>
      <c r="E39" s="115">
        <f>'Cash Flow %s Yr1'!E39</f>
        <v>0</v>
      </c>
      <c r="F39" s="115">
        <f>'Cash Flow %s Yr1'!F39</f>
        <v>0.1</v>
      </c>
      <c r="G39" s="115">
        <f>'Cash Flow %s Yr1'!G39</f>
        <v>0.1</v>
      </c>
      <c r="H39" s="115">
        <f>'Cash Flow %s Yr1'!H39</f>
        <v>0.1</v>
      </c>
      <c r="I39" s="115">
        <f>'Cash Flow %s Yr1'!I39</f>
        <v>0.1</v>
      </c>
      <c r="J39" s="115">
        <f>'Cash Flow %s Yr1'!J39</f>
        <v>0.1</v>
      </c>
      <c r="K39" s="115">
        <f>'Cash Flow %s Yr1'!K39</f>
        <v>0.1</v>
      </c>
      <c r="L39" s="115">
        <f>'Cash Flow %s Yr1'!L39</f>
        <v>0.1</v>
      </c>
      <c r="M39" s="115">
        <f>'Cash Flow %s Yr1'!M39</f>
        <v>0.1</v>
      </c>
      <c r="N39" s="115">
        <f>'Cash Flow %s Yr1'!N39</f>
        <v>0.1</v>
      </c>
      <c r="O39" s="115">
        <f>'Cash Flow %s Yr1'!O39</f>
        <v>0.1</v>
      </c>
      <c r="P39" s="115">
        <f>'Cash Flow %s Yr1'!P39</f>
        <v>0</v>
      </c>
      <c r="Q39" s="115">
        <f>'Cash Flow %s Yr1'!Q39</f>
        <v>0</v>
      </c>
      <c r="R39" s="115">
        <f>'Cash Flow %s Yr1'!R39</f>
        <v>0</v>
      </c>
      <c r="S39" s="111">
        <f t="shared" si="3"/>
        <v>0.99999999999999989</v>
      </c>
    </row>
    <row r="40" spans="1:19" s="31" customFormat="1" x14ac:dyDescent="0.2">
      <c r="A40" s="49"/>
      <c r="B40" s="65" t="str">
        <f>'Revenue Input'!B36</f>
        <v>8785</v>
      </c>
      <c r="C40" s="65" t="str">
        <f>'Revenue Input'!C36</f>
        <v>CMO Management fee</v>
      </c>
      <c r="D40" s="115">
        <f>'Cash Flow %s Yr1'!D40</f>
        <v>0</v>
      </c>
      <c r="E40" s="115">
        <f>'Cash Flow %s Yr1'!E40</f>
        <v>0</v>
      </c>
      <c r="F40" s="115">
        <f>'Cash Flow %s Yr1'!F40</f>
        <v>0.1</v>
      </c>
      <c r="G40" s="115">
        <f>'Cash Flow %s Yr1'!G40</f>
        <v>0.1</v>
      </c>
      <c r="H40" s="115">
        <f>'Cash Flow %s Yr1'!H40</f>
        <v>0.1</v>
      </c>
      <c r="I40" s="115">
        <f>'Cash Flow %s Yr1'!I40</f>
        <v>0.1</v>
      </c>
      <c r="J40" s="115">
        <f>'Cash Flow %s Yr1'!J40</f>
        <v>0.1</v>
      </c>
      <c r="K40" s="115">
        <f>'Cash Flow %s Yr1'!K40</f>
        <v>0.1</v>
      </c>
      <c r="L40" s="115">
        <f>'Cash Flow %s Yr1'!L40</f>
        <v>0.1</v>
      </c>
      <c r="M40" s="115">
        <f>'Cash Flow %s Yr1'!M40</f>
        <v>0.1</v>
      </c>
      <c r="N40" s="115">
        <f>'Cash Flow %s Yr1'!N40</f>
        <v>0.1</v>
      </c>
      <c r="O40" s="115">
        <f>'Cash Flow %s Yr1'!O40</f>
        <v>0.1</v>
      </c>
      <c r="P40" s="115">
        <f>'Cash Flow %s Yr1'!P40</f>
        <v>0</v>
      </c>
      <c r="Q40" s="115">
        <f>'Cash Flow %s Yr1'!Q40</f>
        <v>0</v>
      </c>
      <c r="R40" s="115">
        <f>'Cash Flow %s Yr1'!R40</f>
        <v>0</v>
      </c>
      <c r="S40" s="111">
        <f t="shared" si="3"/>
        <v>0.99999999999999989</v>
      </c>
    </row>
    <row r="41" spans="1:19" s="31" customFormat="1" x14ac:dyDescent="0.2">
      <c r="A41" s="50"/>
      <c r="B41" s="65" t="str">
        <f>'Revenue Input'!B37</f>
        <v>8792</v>
      </c>
      <c r="C41" s="65" t="str">
        <f>'Revenue Input'!C37</f>
        <v>Special Ed - AB 602</v>
      </c>
      <c r="D41" s="115">
        <f>'Cash Flow %s Yr1'!D41</f>
        <v>0</v>
      </c>
      <c r="E41" s="115">
        <f>'Cash Flow %s Yr1'!E41</f>
        <v>0</v>
      </c>
      <c r="F41" s="115">
        <f>'Cash Flow %s Yr1'!F41</f>
        <v>0.1</v>
      </c>
      <c r="G41" s="115">
        <f>'Cash Flow %s Yr1'!G41</f>
        <v>0.1</v>
      </c>
      <c r="H41" s="115">
        <f>'Cash Flow %s Yr1'!H41</f>
        <v>0.1</v>
      </c>
      <c r="I41" s="115">
        <f>'Cash Flow %s Yr1'!I41</f>
        <v>0.1</v>
      </c>
      <c r="J41" s="115">
        <f>'Cash Flow %s Yr1'!J41</f>
        <v>0.1</v>
      </c>
      <c r="K41" s="115">
        <f>'Cash Flow %s Yr1'!K41</f>
        <v>0.1</v>
      </c>
      <c r="L41" s="115">
        <f>'Cash Flow %s Yr1'!L41</f>
        <v>0.1</v>
      </c>
      <c r="M41" s="115">
        <f>'Cash Flow %s Yr1'!M41</f>
        <v>0.1</v>
      </c>
      <c r="N41" s="115">
        <f>'Cash Flow %s Yr1'!N41</f>
        <v>0.1</v>
      </c>
      <c r="O41" s="115">
        <f>'Cash Flow %s Yr1'!O41</f>
        <v>0.1</v>
      </c>
      <c r="P41" s="115">
        <f>'Cash Flow %s Yr1'!P41</f>
        <v>0</v>
      </c>
      <c r="Q41" s="115">
        <f>'Cash Flow %s Yr1'!Q41</f>
        <v>0</v>
      </c>
      <c r="R41" s="115">
        <f>'Cash Flow %s Yr1'!R41</f>
        <v>0</v>
      </c>
      <c r="S41" s="111">
        <f t="shared" si="3"/>
        <v>0.99999999999999989</v>
      </c>
    </row>
    <row r="42" spans="1:19" s="31" customFormat="1" ht="18" x14ac:dyDescent="0.2">
      <c r="A42" s="47"/>
      <c r="B42" s="65" t="str">
        <f>'Revenue Input'!B38</f>
        <v>8980</v>
      </c>
      <c r="C42" s="65" t="str">
        <f>'Revenue Input'!C38</f>
        <v>Student Lunch Revenue</v>
      </c>
      <c r="D42" s="115">
        <f>'Cash Flow %s Yr1'!D42</f>
        <v>0</v>
      </c>
      <c r="E42" s="115">
        <f>'Cash Flow %s Yr1'!E42</f>
        <v>0</v>
      </c>
      <c r="F42" s="115">
        <f>'Cash Flow %s Yr1'!F42</f>
        <v>0.1</v>
      </c>
      <c r="G42" s="115">
        <f>'Cash Flow %s Yr1'!G42</f>
        <v>0.1</v>
      </c>
      <c r="H42" s="115">
        <f>'Cash Flow %s Yr1'!H42</f>
        <v>0.1</v>
      </c>
      <c r="I42" s="115">
        <f>'Cash Flow %s Yr1'!I42</f>
        <v>0.1</v>
      </c>
      <c r="J42" s="115">
        <f>'Cash Flow %s Yr1'!J42</f>
        <v>0.1</v>
      </c>
      <c r="K42" s="115">
        <f>'Cash Flow %s Yr1'!K42</f>
        <v>0.1</v>
      </c>
      <c r="L42" s="115">
        <f>'Cash Flow %s Yr1'!L42</f>
        <v>0.1</v>
      </c>
      <c r="M42" s="115">
        <f>'Cash Flow %s Yr1'!M42</f>
        <v>0.1</v>
      </c>
      <c r="N42" s="115">
        <f>'Cash Flow %s Yr1'!N42</f>
        <v>0.1</v>
      </c>
      <c r="O42" s="115">
        <f>'Cash Flow %s Yr1'!O42</f>
        <v>0.1</v>
      </c>
      <c r="P42" s="115">
        <f>'Cash Flow %s Yr1'!P42</f>
        <v>0</v>
      </c>
      <c r="Q42" s="115">
        <f>'Cash Flow %s Yr1'!Q42</f>
        <v>0</v>
      </c>
      <c r="R42" s="115">
        <f>'Cash Flow %s Yr1'!R42</f>
        <v>0</v>
      </c>
      <c r="S42" s="111">
        <f t="shared" si="3"/>
        <v>0.99999999999999989</v>
      </c>
    </row>
    <row r="43" spans="1:19" s="31" customFormat="1" ht="18" x14ac:dyDescent="0.2">
      <c r="A43" s="47"/>
      <c r="B43" s="65" t="str">
        <f>'Revenue Input'!B39</f>
        <v>8982</v>
      </c>
      <c r="C43" s="65" t="str">
        <f>'Revenue Input'!C39</f>
        <v>Foundation Grants</v>
      </c>
      <c r="D43" s="115">
        <f>'Cash Flow %s Yr1'!D43</f>
        <v>0</v>
      </c>
      <c r="E43" s="115">
        <f>'Cash Flow %s Yr1'!E43</f>
        <v>0</v>
      </c>
      <c r="F43" s="115">
        <f>'Cash Flow %s Yr1'!F43</f>
        <v>0.1</v>
      </c>
      <c r="G43" s="115">
        <f>'Cash Flow %s Yr1'!G43</f>
        <v>0.1</v>
      </c>
      <c r="H43" s="115">
        <f>'Cash Flow %s Yr1'!H43</f>
        <v>0.1</v>
      </c>
      <c r="I43" s="115">
        <f>'Cash Flow %s Yr1'!I43</f>
        <v>0.1</v>
      </c>
      <c r="J43" s="115">
        <f>'Cash Flow %s Yr1'!J43</f>
        <v>0.1</v>
      </c>
      <c r="K43" s="115">
        <f>'Cash Flow %s Yr1'!K43</f>
        <v>0.1</v>
      </c>
      <c r="L43" s="115">
        <f>'Cash Flow %s Yr1'!L43</f>
        <v>0.1</v>
      </c>
      <c r="M43" s="115">
        <f>'Cash Flow %s Yr1'!M43</f>
        <v>0.1</v>
      </c>
      <c r="N43" s="115">
        <f>'Cash Flow %s Yr1'!N43</f>
        <v>0.1</v>
      </c>
      <c r="O43" s="115">
        <f>'Cash Flow %s Yr1'!O43</f>
        <v>0.1</v>
      </c>
      <c r="P43" s="115">
        <f>'Cash Flow %s Yr1'!P43</f>
        <v>0</v>
      </c>
      <c r="Q43" s="115">
        <f>'Cash Flow %s Yr1'!Q43</f>
        <v>0</v>
      </c>
      <c r="R43" s="115">
        <f>'Cash Flow %s Yr1'!R43</f>
        <v>0</v>
      </c>
      <c r="S43" s="111">
        <f t="shared" si="3"/>
        <v>0.99999999999999989</v>
      </c>
    </row>
    <row r="44" spans="1:19" s="31" customFormat="1" ht="18" x14ac:dyDescent="0.2">
      <c r="A44" s="47"/>
      <c r="B44" s="65" t="str">
        <f>'Revenue Input'!B40</f>
        <v>8983</v>
      </c>
      <c r="C44" s="65" t="str">
        <f>'Revenue Input'!C40</f>
        <v>All Other Local Revenue</v>
      </c>
      <c r="D44" s="115">
        <f>'Cash Flow %s Yr1'!D44</f>
        <v>0</v>
      </c>
      <c r="E44" s="115">
        <f>'Cash Flow %s Yr1'!E44</f>
        <v>0</v>
      </c>
      <c r="F44" s="115">
        <f>'Cash Flow %s Yr1'!F44</f>
        <v>0</v>
      </c>
      <c r="G44" s="115">
        <f>'Cash Flow %s Yr1'!G44</f>
        <v>0</v>
      </c>
      <c r="H44" s="115">
        <f>'Cash Flow %s Yr1'!H44</f>
        <v>0.1</v>
      </c>
      <c r="I44" s="115">
        <f>'Cash Flow %s Yr1'!I44</f>
        <v>0.1</v>
      </c>
      <c r="J44" s="115">
        <f>'Cash Flow %s Yr1'!J44</f>
        <v>0.1</v>
      </c>
      <c r="K44" s="115">
        <f>'Cash Flow %s Yr1'!K44</f>
        <v>0.1</v>
      </c>
      <c r="L44" s="115">
        <f>'Cash Flow %s Yr1'!L44</f>
        <v>0.1</v>
      </c>
      <c r="M44" s="115">
        <f>'Cash Flow %s Yr1'!M44</f>
        <v>0.1</v>
      </c>
      <c r="N44" s="115">
        <f>'Cash Flow %s Yr1'!N44</f>
        <v>0.1</v>
      </c>
      <c r="O44" s="115">
        <f>'Cash Flow %s Yr1'!O44</f>
        <v>0.1</v>
      </c>
      <c r="P44" s="115">
        <f>'Cash Flow %s Yr1'!P44</f>
        <v>0.1</v>
      </c>
      <c r="Q44" s="115">
        <f>'Cash Flow %s Yr1'!Q44</f>
        <v>0.1</v>
      </c>
      <c r="R44" s="115">
        <f>'Cash Flow %s Yr1'!R44</f>
        <v>0</v>
      </c>
      <c r="S44" s="111">
        <f t="shared" si="3"/>
        <v>0.99999999999999989</v>
      </c>
    </row>
    <row r="45" spans="1:19" s="31" customFormat="1" ht="18" x14ac:dyDescent="0.2">
      <c r="A45" s="47"/>
      <c r="B45" s="65" t="str">
        <f>'Revenue Input'!B41</f>
        <v>8984</v>
      </c>
      <c r="C45" s="65" t="str">
        <f>'Revenue Input'!C41</f>
        <v>Student Body (ASB) Fundraising Revenue</v>
      </c>
      <c r="D45" s="115">
        <f>'Cash Flow %s Yr1'!D45</f>
        <v>0</v>
      </c>
      <c r="E45" s="115">
        <f>'Cash Flow %s Yr1'!E45</f>
        <v>0</v>
      </c>
      <c r="F45" s="115">
        <f>'Cash Flow %s Yr1'!F45</f>
        <v>0.1</v>
      </c>
      <c r="G45" s="115">
        <f>'Cash Flow %s Yr1'!G45</f>
        <v>0.1</v>
      </c>
      <c r="H45" s="115">
        <f>'Cash Flow %s Yr1'!H45</f>
        <v>0.1</v>
      </c>
      <c r="I45" s="115">
        <f>'Cash Flow %s Yr1'!I45</f>
        <v>0.1</v>
      </c>
      <c r="J45" s="115">
        <f>'Cash Flow %s Yr1'!J45</f>
        <v>0.1</v>
      </c>
      <c r="K45" s="115">
        <f>'Cash Flow %s Yr1'!K45</f>
        <v>0.1</v>
      </c>
      <c r="L45" s="115">
        <f>'Cash Flow %s Yr1'!L45</f>
        <v>0.1</v>
      </c>
      <c r="M45" s="115">
        <f>'Cash Flow %s Yr1'!M45</f>
        <v>0.1</v>
      </c>
      <c r="N45" s="115">
        <f>'Cash Flow %s Yr1'!N45</f>
        <v>0.1</v>
      </c>
      <c r="O45" s="115">
        <f>'Cash Flow %s Yr1'!O45</f>
        <v>0.1</v>
      </c>
      <c r="P45" s="115">
        <f>'Cash Flow %s Yr1'!P45</f>
        <v>0</v>
      </c>
      <c r="Q45" s="115">
        <f>'Cash Flow %s Yr1'!Q45</f>
        <v>0</v>
      </c>
      <c r="R45" s="115">
        <f>'Cash Flow %s Yr1'!R45</f>
        <v>0</v>
      </c>
      <c r="S45" s="111">
        <f t="shared" si="3"/>
        <v>0.99999999999999989</v>
      </c>
    </row>
    <row r="46" spans="1:19" s="31" customFormat="1" ht="18" x14ac:dyDescent="0.2">
      <c r="A46" s="47"/>
      <c r="B46" s="65" t="str">
        <f>'Revenue Input'!B42</f>
        <v>8985</v>
      </c>
      <c r="C46" s="65" t="str">
        <f>'Revenue Input'!C42</f>
        <v>School Site Fundraising</v>
      </c>
      <c r="D46" s="115">
        <f>'Cash Flow %s Yr1'!D46</f>
        <v>0</v>
      </c>
      <c r="E46" s="115">
        <f>'Cash Flow %s Yr1'!E46</f>
        <v>0</v>
      </c>
      <c r="F46" s="115">
        <f>'Cash Flow %s Yr1'!F46</f>
        <v>0.1</v>
      </c>
      <c r="G46" s="115">
        <f>'Cash Flow %s Yr1'!G46</f>
        <v>0.1</v>
      </c>
      <c r="H46" s="115">
        <f>'Cash Flow %s Yr1'!H46</f>
        <v>0.1</v>
      </c>
      <c r="I46" s="115">
        <f>'Cash Flow %s Yr1'!I46</f>
        <v>0.1</v>
      </c>
      <c r="J46" s="115">
        <f>'Cash Flow %s Yr1'!J46</f>
        <v>0.1</v>
      </c>
      <c r="K46" s="115">
        <f>'Cash Flow %s Yr1'!K46</f>
        <v>0.1</v>
      </c>
      <c r="L46" s="115">
        <f>'Cash Flow %s Yr1'!L46</f>
        <v>0.1</v>
      </c>
      <c r="M46" s="115">
        <f>'Cash Flow %s Yr1'!M46</f>
        <v>0.1</v>
      </c>
      <c r="N46" s="115">
        <f>'Cash Flow %s Yr1'!N46</f>
        <v>0.1</v>
      </c>
      <c r="O46" s="115">
        <f>'Cash Flow %s Yr1'!O46</f>
        <v>0.1</v>
      </c>
      <c r="P46" s="115">
        <f>'Cash Flow %s Yr1'!P46</f>
        <v>0</v>
      </c>
      <c r="Q46" s="115">
        <f>'Cash Flow %s Yr1'!Q46</f>
        <v>0</v>
      </c>
      <c r="R46" s="115">
        <f>'Cash Flow %s Yr1'!R46</f>
        <v>0</v>
      </c>
      <c r="S46" s="111">
        <f>SUM(D46:R46)</f>
        <v>0.99999999999999989</v>
      </c>
    </row>
    <row r="47" spans="1:19" s="31" customFormat="1" ht="18" x14ac:dyDescent="0.2">
      <c r="A47" s="47"/>
      <c r="B47" s="65" t="str">
        <f>'Revenue Input'!B43</f>
        <v>8986</v>
      </c>
      <c r="C47" s="65" t="str">
        <f>'Revenue Input'!C43</f>
        <v>Rental Income</v>
      </c>
      <c r="D47" s="115">
        <f>'Cash Flow %s Yr1'!D47</f>
        <v>0</v>
      </c>
      <c r="E47" s="115">
        <f>'Cash Flow %s Yr1'!E47</f>
        <v>0</v>
      </c>
      <c r="F47" s="115">
        <f>'Cash Flow %s Yr1'!F47</f>
        <v>0.1</v>
      </c>
      <c r="G47" s="115">
        <f>'Cash Flow %s Yr1'!G47</f>
        <v>0.1</v>
      </c>
      <c r="H47" s="115">
        <f>'Cash Flow %s Yr1'!H47</f>
        <v>0.1</v>
      </c>
      <c r="I47" s="115">
        <f>'Cash Flow %s Yr1'!I47</f>
        <v>0.1</v>
      </c>
      <c r="J47" s="115">
        <f>'Cash Flow %s Yr1'!J47</f>
        <v>0.1</v>
      </c>
      <c r="K47" s="115">
        <f>'Cash Flow %s Yr1'!K47</f>
        <v>0.1</v>
      </c>
      <c r="L47" s="115">
        <f>'Cash Flow %s Yr1'!L47</f>
        <v>0.1</v>
      </c>
      <c r="M47" s="115">
        <f>'Cash Flow %s Yr1'!M47</f>
        <v>0.1</v>
      </c>
      <c r="N47" s="115">
        <f>'Cash Flow %s Yr1'!N47</f>
        <v>0.1</v>
      </c>
      <c r="O47" s="115">
        <f>'Cash Flow %s Yr1'!O47</f>
        <v>0.1</v>
      </c>
      <c r="P47" s="115">
        <f>'Cash Flow %s Yr1'!P47</f>
        <v>0</v>
      </c>
      <c r="Q47" s="115">
        <f>'Cash Flow %s Yr1'!Q47</f>
        <v>0</v>
      </c>
      <c r="R47" s="115">
        <f>'Cash Flow %s Yr1'!R47</f>
        <v>0</v>
      </c>
      <c r="S47" s="111">
        <f>SUM(D47:R47)</f>
        <v>0.99999999999999989</v>
      </c>
    </row>
    <row r="48" spans="1:19" s="31" customFormat="1" ht="18" x14ac:dyDescent="0.2">
      <c r="A48" s="47"/>
      <c r="B48" s="65" t="str">
        <f>'Revenue Input'!B44</f>
        <v>8989</v>
      </c>
      <c r="C48" s="65" t="str">
        <f>'Revenue Input'!C44</f>
        <v>Fees for Service</v>
      </c>
      <c r="D48" s="115">
        <f>'Cash Flow %s Yr1'!D48</f>
        <v>0</v>
      </c>
      <c r="E48" s="115">
        <f>'Cash Flow %s Yr1'!E48</f>
        <v>0</v>
      </c>
      <c r="F48" s="115">
        <f>'Cash Flow %s Yr1'!F48</f>
        <v>0.1</v>
      </c>
      <c r="G48" s="115">
        <f>'Cash Flow %s Yr1'!G48</f>
        <v>0.1</v>
      </c>
      <c r="H48" s="115">
        <f>'Cash Flow %s Yr1'!H48</f>
        <v>0.1</v>
      </c>
      <c r="I48" s="115">
        <f>'Cash Flow %s Yr1'!I48</f>
        <v>0.1</v>
      </c>
      <c r="J48" s="115">
        <f>'Cash Flow %s Yr1'!J48</f>
        <v>0.1</v>
      </c>
      <c r="K48" s="115">
        <f>'Cash Flow %s Yr1'!K48</f>
        <v>0.1</v>
      </c>
      <c r="L48" s="115">
        <f>'Cash Flow %s Yr1'!L48</f>
        <v>0.1</v>
      </c>
      <c r="M48" s="115">
        <f>'Cash Flow %s Yr1'!M48</f>
        <v>0.1</v>
      </c>
      <c r="N48" s="115">
        <f>'Cash Flow %s Yr1'!N48</f>
        <v>0.1</v>
      </c>
      <c r="O48" s="115">
        <f>'Cash Flow %s Yr1'!O48</f>
        <v>0.1</v>
      </c>
      <c r="P48" s="115">
        <f>'Cash Flow %s Yr1'!P48</f>
        <v>0</v>
      </c>
      <c r="Q48" s="115">
        <f>'Cash Flow %s Yr1'!Q48</f>
        <v>0</v>
      </c>
      <c r="R48" s="115">
        <f>'Cash Flow %s Yr1'!R48</f>
        <v>0</v>
      </c>
      <c r="S48" s="111">
        <f>SUM(D48:R48)</f>
        <v>0.99999999999999989</v>
      </c>
    </row>
    <row r="49" spans="1:19" s="31" customFormat="1" ht="18" x14ac:dyDescent="0.2">
      <c r="A49" s="47"/>
      <c r="B49" s="65" t="str">
        <f>'Revenue Input'!B45</f>
        <v>8999</v>
      </c>
      <c r="C49" s="65" t="str">
        <f>'Revenue Input'!C45</f>
        <v>Revenue Suspense</v>
      </c>
      <c r="D49" s="115">
        <f>'Cash Flow %s Yr1'!D49</f>
        <v>0</v>
      </c>
      <c r="E49" s="115">
        <f>'Cash Flow %s Yr1'!E49</f>
        <v>0</v>
      </c>
      <c r="F49" s="115">
        <f>'Cash Flow %s Yr1'!F49</f>
        <v>0.1</v>
      </c>
      <c r="G49" s="115">
        <f>'Cash Flow %s Yr1'!G49</f>
        <v>0.1</v>
      </c>
      <c r="H49" s="115">
        <f>'Cash Flow %s Yr1'!H49</f>
        <v>0.1</v>
      </c>
      <c r="I49" s="115">
        <f>'Cash Flow %s Yr1'!I49</f>
        <v>0.1</v>
      </c>
      <c r="J49" s="115">
        <f>'Cash Flow %s Yr1'!J49</f>
        <v>0.1</v>
      </c>
      <c r="K49" s="115">
        <f>'Cash Flow %s Yr1'!K49</f>
        <v>0.1</v>
      </c>
      <c r="L49" s="115">
        <f>'Cash Flow %s Yr1'!L49</f>
        <v>0.1</v>
      </c>
      <c r="M49" s="115">
        <f>'Cash Flow %s Yr1'!M49</f>
        <v>0.1</v>
      </c>
      <c r="N49" s="115">
        <f>'Cash Flow %s Yr1'!N49</f>
        <v>0.1</v>
      </c>
      <c r="O49" s="115">
        <f>'Cash Flow %s Yr1'!O49</f>
        <v>0.1</v>
      </c>
      <c r="P49" s="115">
        <f>'Cash Flow %s Yr1'!P49</f>
        <v>0</v>
      </c>
      <c r="Q49" s="115">
        <f>'Cash Flow %s Yr1'!Q49</f>
        <v>0</v>
      </c>
      <c r="R49" s="115">
        <f>'Cash Flow %s Yr1'!R49</f>
        <v>0</v>
      </c>
      <c r="S49" s="111">
        <f t="shared" si="3"/>
        <v>0.99999999999999989</v>
      </c>
    </row>
    <row r="50" spans="1:19" s="31" customFormat="1" ht="18" x14ac:dyDescent="0.2">
      <c r="A50" s="47"/>
      <c r="B50" s="72"/>
      <c r="C50" s="50"/>
      <c r="D50" s="119"/>
      <c r="E50" s="119"/>
      <c r="F50" s="119"/>
      <c r="G50" s="119"/>
      <c r="H50" s="119"/>
      <c r="I50" s="119"/>
      <c r="J50" s="119"/>
      <c r="K50" s="119"/>
      <c r="L50" s="119"/>
      <c r="M50" s="119"/>
      <c r="N50" s="119"/>
      <c r="O50" s="119"/>
      <c r="P50" s="100"/>
      <c r="Q50" s="100"/>
      <c r="R50" s="100"/>
      <c r="S50" s="111"/>
    </row>
    <row r="51" spans="1:19" s="31" customFormat="1" ht="18" x14ac:dyDescent="0.2">
      <c r="A51" s="47"/>
      <c r="B51" s="72"/>
      <c r="C51" s="50"/>
      <c r="D51" s="119"/>
      <c r="E51" s="119"/>
      <c r="F51" s="119"/>
      <c r="G51" s="119"/>
      <c r="H51" s="119"/>
      <c r="I51" s="119"/>
      <c r="J51" s="119"/>
      <c r="K51" s="119"/>
      <c r="L51" s="119"/>
      <c r="M51" s="119"/>
      <c r="N51" s="119"/>
      <c r="O51" s="119"/>
      <c r="P51" s="100"/>
      <c r="Q51" s="100"/>
      <c r="R51" s="100"/>
      <c r="S51" s="111"/>
    </row>
    <row r="52" spans="1:19" s="31" customFormat="1" ht="18" x14ac:dyDescent="0.2">
      <c r="A52" s="47"/>
      <c r="B52" s="72"/>
      <c r="C52" s="50"/>
      <c r="D52" s="100"/>
      <c r="E52" s="100"/>
      <c r="F52" s="100"/>
      <c r="G52" s="100"/>
      <c r="H52" s="100"/>
      <c r="I52" s="100"/>
      <c r="J52" s="100"/>
      <c r="K52" s="100"/>
      <c r="L52" s="100"/>
      <c r="M52" s="100"/>
      <c r="N52" s="100"/>
      <c r="O52" s="100"/>
      <c r="P52" s="100"/>
      <c r="Q52" s="100"/>
      <c r="R52" s="100"/>
      <c r="S52" s="111"/>
    </row>
    <row r="53" spans="1:19" s="31" customFormat="1" ht="18" x14ac:dyDescent="0.2">
      <c r="A53" s="47" t="s">
        <v>802</v>
      </c>
      <c r="B53" s="73"/>
      <c r="C53" s="34"/>
      <c r="D53" s="101"/>
      <c r="E53" s="101"/>
      <c r="F53" s="101"/>
      <c r="G53" s="101"/>
      <c r="H53" s="101"/>
      <c r="I53" s="101"/>
      <c r="J53" s="101"/>
      <c r="K53" s="101"/>
      <c r="L53" s="101"/>
      <c r="M53" s="101"/>
      <c r="N53" s="101"/>
      <c r="O53" s="101"/>
      <c r="P53" s="101"/>
      <c r="Q53" s="101"/>
      <c r="R53" s="101"/>
      <c r="S53" s="111"/>
    </row>
    <row r="54" spans="1:19" x14ac:dyDescent="0.2">
      <c r="A54" s="1"/>
      <c r="B54" s="34" t="s">
        <v>733</v>
      </c>
      <c r="C54" s="3"/>
      <c r="S54" s="182"/>
    </row>
    <row r="55" spans="1:19" x14ac:dyDescent="0.2">
      <c r="A55" s="36"/>
      <c r="B55" s="67" t="str">
        <f>'Expenses Summary'!B8</f>
        <v>1100</v>
      </c>
      <c r="C55" s="67" t="str">
        <f>'Expenses Summary'!C8</f>
        <v>Teachers'  Salaries</v>
      </c>
      <c r="D55" s="112">
        <f>'Cash Flow %s Yr1'!D55</f>
        <v>8.3000000000000004E-2</v>
      </c>
      <c r="E55" s="112">
        <f>'Cash Flow %s Yr1'!E55</f>
        <v>8.3000000000000004E-2</v>
      </c>
      <c r="F55" s="112">
        <f>'Cash Flow %s Yr1'!F55</f>
        <v>8.3000000000000004E-2</v>
      </c>
      <c r="G55" s="112">
        <f>'Cash Flow %s Yr1'!G55</f>
        <v>8.3000000000000004E-2</v>
      </c>
      <c r="H55" s="112">
        <f>'Cash Flow %s Yr1'!H55</f>
        <v>8.3000000000000004E-2</v>
      </c>
      <c r="I55" s="112">
        <f>'Cash Flow %s Yr1'!I55</f>
        <v>8.3000000000000004E-2</v>
      </c>
      <c r="J55" s="112">
        <f>'Cash Flow %s Yr1'!J55</f>
        <v>8.3000000000000004E-2</v>
      </c>
      <c r="K55" s="112">
        <f>'Cash Flow %s Yr1'!K55</f>
        <v>8.3000000000000004E-2</v>
      </c>
      <c r="L55" s="112">
        <f>'Cash Flow %s Yr1'!L55</f>
        <v>8.4000000000000005E-2</v>
      </c>
      <c r="M55" s="112">
        <f>'Cash Flow %s Yr1'!M55</f>
        <v>8.4000000000000005E-2</v>
      </c>
      <c r="N55" s="112">
        <f>'Cash Flow %s Yr1'!N55</f>
        <v>8.4000000000000005E-2</v>
      </c>
      <c r="O55" s="112">
        <f>'Cash Flow %s Yr1'!O55</f>
        <v>8.4000000000000005E-2</v>
      </c>
      <c r="P55" s="112">
        <f>'Cash Flow %s Yr1'!P55</f>
        <v>0</v>
      </c>
      <c r="Q55" s="112">
        <f>'Cash Flow %s Yr1'!Q55</f>
        <v>0</v>
      </c>
      <c r="R55" s="112">
        <f>'Cash Flow %s Yr1'!R55</f>
        <v>0</v>
      </c>
      <c r="S55" s="111">
        <f t="shared" ref="S55:S62" si="4">SUM(D55:R55)</f>
        <v>0.99999999999999989</v>
      </c>
    </row>
    <row r="56" spans="1:19" x14ac:dyDescent="0.2">
      <c r="A56" s="36"/>
      <c r="B56" s="67" t="str">
        <f>'Expenses Summary'!B9</f>
        <v>1105</v>
      </c>
      <c r="C56" s="67" t="str">
        <f>'Expenses Summary'!C9</f>
        <v>Teachers'  Bonuses</v>
      </c>
      <c r="D56" s="112">
        <f>'Cash Flow %s Yr1'!D56</f>
        <v>0</v>
      </c>
      <c r="E56" s="112">
        <f>'Cash Flow %s Yr1'!E56</f>
        <v>0</v>
      </c>
      <c r="F56" s="112">
        <f>'Cash Flow %s Yr1'!F56</f>
        <v>0</v>
      </c>
      <c r="G56" s="112">
        <f>'Cash Flow %s Yr1'!G56</f>
        <v>0</v>
      </c>
      <c r="H56" s="112">
        <f>'Cash Flow %s Yr1'!H56</f>
        <v>0</v>
      </c>
      <c r="I56" s="112">
        <f>'Cash Flow %s Yr1'!I56</f>
        <v>1</v>
      </c>
      <c r="J56" s="112">
        <f>'Cash Flow %s Yr1'!J56</f>
        <v>0</v>
      </c>
      <c r="K56" s="112">
        <f>'Cash Flow %s Yr1'!K56</f>
        <v>0</v>
      </c>
      <c r="L56" s="112">
        <f>'Cash Flow %s Yr1'!L56</f>
        <v>0</v>
      </c>
      <c r="M56" s="112">
        <f>'Cash Flow %s Yr1'!M56</f>
        <v>0</v>
      </c>
      <c r="N56" s="112">
        <f>'Cash Flow %s Yr1'!N56</f>
        <v>0</v>
      </c>
      <c r="O56" s="112">
        <f>'Cash Flow %s Yr1'!O56</f>
        <v>0</v>
      </c>
      <c r="P56" s="112">
        <f>'Cash Flow %s Yr1'!P56</f>
        <v>0</v>
      </c>
      <c r="Q56" s="112">
        <f>'Cash Flow %s Yr1'!Q56</f>
        <v>0</v>
      </c>
      <c r="R56" s="112">
        <f>'Cash Flow %s Yr1'!R56</f>
        <v>0</v>
      </c>
      <c r="S56" s="111">
        <f t="shared" si="4"/>
        <v>1</v>
      </c>
    </row>
    <row r="57" spans="1:19" x14ac:dyDescent="0.2">
      <c r="A57" s="36"/>
      <c r="B57" s="67" t="str">
        <f>'Expenses Summary'!B10</f>
        <v>1120</v>
      </c>
      <c r="C57" s="67" t="str">
        <f>'Expenses Summary'!C10</f>
        <v>Substitute Expense</v>
      </c>
      <c r="D57" s="112">
        <f>'Cash Flow %s Yr1'!D57</f>
        <v>0</v>
      </c>
      <c r="E57" s="112">
        <f>'Cash Flow %s Yr1'!E57</f>
        <v>0</v>
      </c>
      <c r="F57" s="112">
        <f>'Cash Flow %s Yr1'!F57</f>
        <v>0.1</v>
      </c>
      <c r="G57" s="112">
        <f>'Cash Flow %s Yr1'!G57</f>
        <v>0.1</v>
      </c>
      <c r="H57" s="112">
        <f>'Cash Flow %s Yr1'!H57</f>
        <v>0.1</v>
      </c>
      <c r="I57" s="112">
        <f>'Cash Flow %s Yr1'!I57</f>
        <v>0.1</v>
      </c>
      <c r="J57" s="112">
        <f>'Cash Flow %s Yr1'!J57</f>
        <v>0.1</v>
      </c>
      <c r="K57" s="112">
        <f>'Cash Flow %s Yr1'!K57</f>
        <v>0.1</v>
      </c>
      <c r="L57" s="112">
        <f>'Cash Flow %s Yr1'!L57</f>
        <v>0.1</v>
      </c>
      <c r="M57" s="112">
        <f>'Cash Flow %s Yr1'!M57</f>
        <v>0.1</v>
      </c>
      <c r="N57" s="112">
        <f>'Cash Flow %s Yr1'!N57</f>
        <v>0.1</v>
      </c>
      <c r="O57" s="112">
        <f>'Cash Flow %s Yr1'!O57</f>
        <v>0.1</v>
      </c>
      <c r="P57" s="112">
        <f>'Cash Flow %s Yr1'!P57</f>
        <v>0</v>
      </c>
      <c r="Q57" s="112">
        <f>'Cash Flow %s Yr1'!Q57</f>
        <v>0</v>
      </c>
      <c r="R57" s="112">
        <f>'Cash Flow %s Yr1'!R57</f>
        <v>0</v>
      </c>
      <c r="S57" s="111">
        <f t="shared" si="4"/>
        <v>0.99999999999999989</v>
      </c>
    </row>
    <row r="58" spans="1:19" x14ac:dyDescent="0.2">
      <c r="A58" s="36"/>
      <c r="B58" s="67" t="str">
        <f>'Expenses Summary'!B11</f>
        <v>1200</v>
      </c>
      <c r="C58" s="67" t="str">
        <f>'Expenses Summary'!C11</f>
        <v>Certificated Pupil Support Salaries</v>
      </c>
      <c r="D58" s="112">
        <f>'Cash Flow %s Yr1'!D58</f>
        <v>0</v>
      </c>
      <c r="E58" s="112">
        <f>'Cash Flow %s Yr1'!E58</f>
        <v>0</v>
      </c>
      <c r="F58" s="112">
        <f>'Cash Flow %s Yr1'!F58</f>
        <v>0.1</v>
      </c>
      <c r="G58" s="112">
        <f>'Cash Flow %s Yr1'!G58</f>
        <v>0.1</v>
      </c>
      <c r="H58" s="112">
        <f>'Cash Flow %s Yr1'!H58</f>
        <v>0.1</v>
      </c>
      <c r="I58" s="112">
        <f>'Cash Flow %s Yr1'!I58</f>
        <v>0.1</v>
      </c>
      <c r="J58" s="112">
        <f>'Cash Flow %s Yr1'!J58</f>
        <v>0.1</v>
      </c>
      <c r="K58" s="112">
        <f>'Cash Flow %s Yr1'!K58</f>
        <v>0.1</v>
      </c>
      <c r="L58" s="112">
        <f>'Cash Flow %s Yr1'!L58</f>
        <v>0.1</v>
      </c>
      <c r="M58" s="112">
        <f>'Cash Flow %s Yr1'!M58</f>
        <v>0.1</v>
      </c>
      <c r="N58" s="112">
        <f>'Cash Flow %s Yr1'!N58</f>
        <v>0.1</v>
      </c>
      <c r="O58" s="112">
        <f>'Cash Flow %s Yr1'!O58</f>
        <v>0.1</v>
      </c>
      <c r="P58" s="112">
        <f>'Cash Flow %s Yr1'!P58</f>
        <v>0</v>
      </c>
      <c r="Q58" s="112">
        <f>'Cash Flow %s Yr1'!Q58</f>
        <v>0</v>
      </c>
      <c r="R58" s="112">
        <f>'Cash Flow %s Yr1'!R58</f>
        <v>0</v>
      </c>
      <c r="S58" s="111">
        <f t="shared" si="4"/>
        <v>0.99999999999999989</v>
      </c>
    </row>
    <row r="59" spans="1:19" x14ac:dyDescent="0.2">
      <c r="A59" s="36"/>
      <c r="B59" s="67" t="str">
        <f>'Expenses Summary'!B13</f>
        <v>1300</v>
      </c>
      <c r="C59" s="67" t="str">
        <f>'Expenses Summary'!C13</f>
        <v>Certificated Supervisor and Administrator Salaries</v>
      </c>
      <c r="D59" s="112">
        <f>'Cash Flow %s Yr1'!D59</f>
        <v>8.3000000000000004E-2</v>
      </c>
      <c r="E59" s="112">
        <f>'Cash Flow %s Yr1'!E59</f>
        <v>8.3000000000000004E-2</v>
      </c>
      <c r="F59" s="112">
        <f>'Cash Flow %s Yr1'!F59</f>
        <v>8.3000000000000004E-2</v>
      </c>
      <c r="G59" s="112">
        <f>'Cash Flow %s Yr1'!G59</f>
        <v>8.3000000000000004E-2</v>
      </c>
      <c r="H59" s="112">
        <f>'Cash Flow %s Yr1'!H59</f>
        <v>8.3000000000000004E-2</v>
      </c>
      <c r="I59" s="112">
        <f>'Cash Flow %s Yr1'!I59</f>
        <v>8.3000000000000004E-2</v>
      </c>
      <c r="J59" s="112">
        <f>'Cash Flow %s Yr1'!J59</f>
        <v>8.3000000000000004E-2</v>
      </c>
      <c r="K59" s="112">
        <f>'Cash Flow %s Yr1'!K59</f>
        <v>8.3000000000000004E-2</v>
      </c>
      <c r="L59" s="112">
        <f>'Cash Flow %s Yr1'!L59</f>
        <v>8.4000000000000005E-2</v>
      </c>
      <c r="M59" s="112">
        <f>'Cash Flow %s Yr1'!M59</f>
        <v>8.4000000000000005E-2</v>
      </c>
      <c r="N59" s="112">
        <f>'Cash Flow %s Yr1'!N59</f>
        <v>8.4000000000000005E-2</v>
      </c>
      <c r="O59" s="112">
        <f>'Cash Flow %s Yr1'!O59</f>
        <v>8.4000000000000005E-2</v>
      </c>
      <c r="P59" s="112">
        <f>'Cash Flow %s Yr1'!P59</f>
        <v>0</v>
      </c>
      <c r="Q59" s="112">
        <f>'Cash Flow %s Yr1'!Q59</f>
        <v>0</v>
      </c>
      <c r="R59" s="112">
        <f>'Cash Flow %s Yr1'!R59</f>
        <v>0</v>
      </c>
      <c r="S59" s="111">
        <f t="shared" si="4"/>
        <v>0.99999999999999989</v>
      </c>
    </row>
    <row r="60" spans="1:19" x14ac:dyDescent="0.2">
      <c r="A60" s="36"/>
      <c r="B60" s="67" t="str">
        <f>'Expenses Summary'!B14</f>
        <v>1305</v>
      </c>
      <c r="C60" s="67" t="str">
        <f>'Expenses Summary'!C14</f>
        <v>Certificated Supervisor and Administrator Bonuses</v>
      </c>
      <c r="D60" s="112">
        <f>'Cash Flow %s Yr1'!D60</f>
        <v>0</v>
      </c>
      <c r="E60" s="112">
        <f>'Cash Flow %s Yr1'!E60</f>
        <v>0</v>
      </c>
      <c r="F60" s="112">
        <f>'Cash Flow %s Yr1'!F60</f>
        <v>0</v>
      </c>
      <c r="G60" s="112">
        <f>'Cash Flow %s Yr1'!G60</f>
        <v>0</v>
      </c>
      <c r="H60" s="112">
        <f>'Cash Flow %s Yr1'!H60</f>
        <v>0</v>
      </c>
      <c r="I60" s="112">
        <f>'Cash Flow %s Yr1'!I60</f>
        <v>1</v>
      </c>
      <c r="J60" s="112">
        <f>'Cash Flow %s Yr1'!J60</f>
        <v>0</v>
      </c>
      <c r="K60" s="112">
        <f>'Cash Flow %s Yr1'!K60</f>
        <v>0</v>
      </c>
      <c r="L60" s="112">
        <f>'Cash Flow %s Yr1'!L60</f>
        <v>0</v>
      </c>
      <c r="M60" s="112">
        <f>'Cash Flow %s Yr1'!M60</f>
        <v>0</v>
      </c>
      <c r="N60" s="112">
        <f>'Cash Flow %s Yr1'!N60</f>
        <v>0</v>
      </c>
      <c r="O60" s="112">
        <f>'Cash Flow %s Yr1'!O60</f>
        <v>0</v>
      </c>
      <c r="P60" s="112">
        <f>'Cash Flow %s Yr1'!P60</f>
        <v>0</v>
      </c>
      <c r="Q60" s="112">
        <f>'Cash Flow %s Yr1'!Q60</f>
        <v>0</v>
      </c>
      <c r="R60" s="112">
        <f>'Cash Flow %s Yr1'!R60</f>
        <v>0</v>
      </c>
      <c r="S60" s="111">
        <f t="shared" si="4"/>
        <v>1</v>
      </c>
    </row>
    <row r="61" spans="1:19" x14ac:dyDescent="0.2">
      <c r="A61" s="36"/>
      <c r="B61" s="67" t="str">
        <f>'Expenses Summary'!B15</f>
        <v>1900</v>
      </c>
      <c r="C61" s="67" t="str">
        <f>'Expenses Summary'!C15</f>
        <v>Other Certificated Salaries</v>
      </c>
      <c r="D61" s="112">
        <f>'Cash Flow %s Yr1'!D61</f>
        <v>0</v>
      </c>
      <c r="E61" s="112">
        <f>'Cash Flow %s Yr1'!E61</f>
        <v>9.1666666666666702E-2</v>
      </c>
      <c r="F61" s="112">
        <f>'Cash Flow %s Yr1'!F61</f>
        <v>9.1666666666666702E-2</v>
      </c>
      <c r="G61" s="112">
        <f>'Cash Flow %s Yr1'!G61</f>
        <v>9.1666666666666702E-2</v>
      </c>
      <c r="H61" s="112">
        <f>'Cash Flow %s Yr1'!H61</f>
        <v>9.1666666666666702E-2</v>
      </c>
      <c r="I61" s="112">
        <f>'Cash Flow %s Yr1'!I61</f>
        <v>9.1666666666666702E-2</v>
      </c>
      <c r="J61" s="112">
        <f>'Cash Flow %s Yr1'!J61</f>
        <v>9.1666666666666702E-2</v>
      </c>
      <c r="K61" s="112">
        <f>'Cash Flow %s Yr1'!K61</f>
        <v>9.1666666666666702E-2</v>
      </c>
      <c r="L61" s="112">
        <f>'Cash Flow %s Yr1'!L61</f>
        <v>9.1666666666666702E-2</v>
      </c>
      <c r="M61" s="112">
        <f>'Cash Flow %s Yr1'!M61</f>
        <v>9.1666666666666702E-2</v>
      </c>
      <c r="N61" s="112">
        <f>'Cash Flow %s Yr1'!N61</f>
        <v>9.1666666666666702E-2</v>
      </c>
      <c r="O61" s="112">
        <f>'Cash Flow %s Yr1'!O61</f>
        <v>8.3333333332999998E-2</v>
      </c>
      <c r="P61" s="112">
        <f>'Cash Flow %s Yr1'!P61</f>
        <v>0</v>
      </c>
      <c r="Q61" s="112">
        <f>'Cash Flow %s Yr1'!Q61</f>
        <v>0</v>
      </c>
      <c r="R61" s="112">
        <f>'Cash Flow %s Yr1'!R61</f>
        <v>0</v>
      </c>
      <c r="S61" s="111">
        <f t="shared" si="4"/>
        <v>0.99999999999966682</v>
      </c>
    </row>
    <row r="62" spans="1:19" x14ac:dyDescent="0.2">
      <c r="A62" s="36"/>
      <c r="B62" s="67" t="str">
        <f>'Expenses Summary'!B16</f>
        <v>1910</v>
      </c>
      <c r="C62" s="67" t="str">
        <f>'Expenses Summary'!C16</f>
        <v>Other Certificated Overtime</v>
      </c>
      <c r="D62" s="112">
        <f>'Cash Flow %s Yr1'!D62</f>
        <v>0</v>
      </c>
      <c r="E62" s="112">
        <f>'Cash Flow %s Yr1'!E62</f>
        <v>9.1666666666666702E-2</v>
      </c>
      <c r="F62" s="112">
        <f>'Cash Flow %s Yr1'!F62</f>
        <v>9.1666666666666702E-2</v>
      </c>
      <c r="G62" s="112">
        <f>'Cash Flow %s Yr1'!G62</f>
        <v>9.1666666666666702E-2</v>
      </c>
      <c r="H62" s="112">
        <f>'Cash Flow %s Yr1'!H62</f>
        <v>9.1666666666666702E-2</v>
      </c>
      <c r="I62" s="112">
        <f>'Cash Flow %s Yr1'!I62</f>
        <v>9.1666666666666702E-2</v>
      </c>
      <c r="J62" s="112">
        <f>'Cash Flow %s Yr1'!J62</f>
        <v>9.1666666666666702E-2</v>
      </c>
      <c r="K62" s="112">
        <f>'Cash Flow %s Yr1'!K62</f>
        <v>9.1666666666666702E-2</v>
      </c>
      <c r="L62" s="112">
        <f>'Cash Flow %s Yr1'!L62</f>
        <v>9.1666666666666702E-2</v>
      </c>
      <c r="M62" s="112">
        <f>'Cash Flow %s Yr1'!M62</f>
        <v>9.1666666666666702E-2</v>
      </c>
      <c r="N62" s="112">
        <f>'Cash Flow %s Yr1'!N62</f>
        <v>9.1666666666666702E-2</v>
      </c>
      <c r="O62" s="112">
        <f>'Cash Flow %s Yr1'!O62</f>
        <v>8.3333333332999998E-2</v>
      </c>
      <c r="P62" s="112">
        <f>'Cash Flow %s Yr1'!P62</f>
        <v>0</v>
      </c>
      <c r="Q62" s="112">
        <f>'Cash Flow %s Yr1'!Q62</f>
        <v>0</v>
      </c>
      <c r="R62" s="112">
        <f>'Cash Flow %s Yr1'!R62</f>
        <v>0</v>
      </c>
      <c r="S62" s="111">
        <f t="shared" si="4"/>
        <v>0.99999999999966682</v>
      </c>
    </row>
    <row r="63" spans="1:19" x14ac:dyDescent="0.2">
      <c r="A63" s="36"/>
      <c r="B63" s="88"/>
      <c r="C63" s="93"/>
      <c r="D63" s="100"/>
      <c r="E63" s="100"/>
      <c r="F63" s="119"/>
      <c r="G63" s="119"/>
      <c r="H63" s="119"/>
      <c r="I63" s="119"/>
      <c r="J63" s="119"/>
      <c r="K63" s="119"/>
      <c r="L63" s="119"/>
      <c r="M63" s="119"/>
      <c r="N63" s="119"/>
      <c r="O63" s="119"/>
      <c r="P63" s="100"/>
      <c r="Q63" s="100"/>
      <c r="R63" s="100"/>
      <c r="S63" s="111"/>
    </row>
    <row r="64" spans="1:19" s="31" customFormat="1" x14ac:dyDescent="0.2">
      <c r="A64" s="36"/>
      <c r="B64" s="40"/>
      <c r="C64" s="3"/>
      <c r="D64" s="102"/>
      <c r="E64" s="102"/>
      <c r="F64" s="102"/>
      <c r="G64" s="102"/>
      <c r="H64" s="102"/>
      <c r="I64" s="102"/>
      <c r="J64" s="102"/>
      <c r="K64" s="102"/>
      <c r="L64" s="102"/>
      <c r="M64" s="102"/>
      <c r="N64" s="102"/>
      <c r="O64" s="102"/>
      <c r="P64" s="102"/>
      <c r="Q64" s="102"/>
      <c r="R64" s="102"/>
      <c r="S64" s="111"/>
    </row>
    <row r="65" spans="1:19" s="31" customFormat="1" x14ac:dyDescent="0.2">
      <c r="B65" s="5" t="s">
        <v>734</v>
      </c>
      <c r="C65" s="3"/>
      <c r="D65" s="102"/>
      <c r="E65" s="102"/>
      <c r="F65" s="102"/>
      <c r="G65" s="102"/>
      <c r="H65" s="102"/>
      <c r="I65" s="102"/>
      <c r="J65" s="102"/>
      <c r="K65" s="102"/>
      <c r="L65" s="102"/>
      <c r="M65" s="102"/>
      <c r="N65" s="102"/>
      <c r="O65" s="102"/>
      <c r="P65" s="102"/>
      <c r="Q65" s="102"/>
      <c r="R65" s="102"/>
      <c r="S65" s="111"/>
    </row>
    <row r="66" spans="1:19" s="31" customFormat="1" x14ac:dyDescent="0.2">
      <c r="A66" s="36"/>
      <c r="B66" s="67" t="str">
        <f>'Expenses Summary'!B20</f>
        <v>2100</v>
      </c>
      <c r="C66" s="67" t="str">
        <f>'Expenses Summary'!C20</f>
        <v>Instructional Aide Salaries</v>
      </c>
      <c r="D66" s="112">
        <f>'Cash Flow %s Yr1'!D66</f>
        <v>0</v>
      </c>
      <c r="E66" s="112">
        <f>'Cash Flow %s Yr1'!E66</f>
        <v>0</v>
      </c>
      <c r="F66" s="112">
        <f>'Cash Flow %s Yr1'!F66</f>
        <v>0.1</v>
      </c>
      <c r="G66" s="112">
        <f>'Cash Flow %s Yr1'!G66</f>
        <v>0.1</v>
      </c>
      <c r="H66" s="112">
        <f>'Cash Flow %s Yr1'!H66</f>
        <v>0.1</v>
      </c>
      <c r="I66" s="112">
        <f>'Cash Flow %s Yr1'!I66</f>
        <v>0.1</v>
      </c>
      <c r="J66" s="112">
        <f>'Cash Flow %s Yr1'!J66</f>
        <v>0.1</v>
      </c>
      <c r="K66" s="112">
        <f>'Cash Flow %s Yr1'!K66</f>
        <v>0.1</v>
      </c>
      <c r="L66" s="112">
        <f>'Cash Flow %s Yr1'!L66</f>
        <v>0.1</v>
      </c>
      <c r="M66" s="112">
        <f>'Cash Flow %s Yr1'!M66</f>
        <v>0.1</v>
      </c>
      <c r="N66" s="112">
        <f>'Cash Flow %s Yr1'!N66</f>
        <v>0.1</v>
      </c>
      <c r="O66" s="112">
        <f>'Cash Flow %s Yr1'!O66</f>
        <v>0.1</v>
      </c>
      <c r="P66" s="112">
        <f>'Cash Flow %s Yr1'!P66</f>
        <v>0</v>
      </c>
      <c r="Q66" s="112">
        <f>'Cash Flow %s Yr1'!Q66</f>
        <v>0</v>
      </c>
      <c r="R66" s="112">
        <f>'Cash Flow %s Yr1'!R66</f>
        <v>0</v>
      </c>
      <c r="S66" s="111">
        <f t="shared" ref="S66:S75" si="5">SUM(D66:R66)</f>
        <v>0.99999999999999989</v>
      </c>
    </row>
    <row r="67" spans="1:19" s="31" customFormat="1" x14ac:dyDescent="0.2">
      <c r="A67" s="36"/>
      <c r="B67" s="67" t="str">
        <f>'Expenses Summary'!B21</f>
        <v>2110</v>
      </c>
      <c r="C67" s="67" t="str">
        <f>'Expenses Summary'!C21</f>
        <v>Instructional Aide Overtime</v>
      </c>
      <c r="D67" s="112">
        <f>'Cash Flow %s Yr1'!D67</f>
        <v>0</v>
      </c>
      <c r="E67" s="112">
        <f>'Cash Flow %s Yr1'!E67</f>
        <v>0</v>
      </c>
      <c r="F67" s="112">
        <f>'Cash Flow %s Yr1'!F67</f>
        <v>0.1</v>
      </c>
      <c r="G67" s="112">
        <f>'Cash Flow %s Yr1'!G67</f>
        <v>0.1</v>
      </c>
      <c r="H67" s="112">
        <f>'Cash Flow %s Yr1'!H67</f>
        <v>0.1</v>
      </c>
      <c r="I67" s="112">
        <f>'Cash Flow %s Yr1'!I67</f>
        <v>0.1</v>
      </c>
      <c r="J67" s="112">
        <f>'Cash Flow %s Yr1'!J67</f>
        <v>0.1</v>
      </c>
      <c r="K67" s="112">
        <f>'Cash Flow %s Yr1'!K67</f>
        <v>0.1</v>
      </c>
      <c r="L67" s="112">
        <f>'Cash Flow %s Yr1'!L67</f>
        <v>0.1</v>
      </c>
      <c r="M67" s="112">
        <f>'Cash Flow %s Yr1'!M67</f>
        <v>0.1</v>
      </c>
      <c r="N67" s="112">
        <f>'Cash Flow %s Yr1'!N67</f>
        <v>0.1</v>
      </c>
      <c r="O67" s="112">
        <f>'Cash Flow %s Yr1'!O67</f>
        <v>0.1</v>
      </c>
      <c r="P67" s="112">
        <f>'Cash Flow %s Yr1'!P67</f>
        <v>0</v>
      </c>
      <c r="Q67" s="112">
        <f>'Cash Flow %s Yr1'!Q67</f>
        <v>0</v>
      </c>
      <c r="R67" s="112">
        <f>'Cash Flow %s Yr1'!R67</f>
        <v>0</v>
      </c>
      <c r="S67" s="111">
        <f t="shared" si="5"/>
        <v>0.99999999999999989</v>
      </c>
    </row>
    <row r="68" spans="1:19" s="31" customFormat="1" x14ac:dyDescent="0.2">
      <c r="A68" s="36"/>
      <c r="B68" s="67" t="str">
        <f>'Expenses Summary'!B22</f>
        <v>2200</v>
      </c>
      <c r="C68" s="67" t="str">
        <f>'Expenses Summary'!C22</f>
        <v>Classified Support Salaries</v>
      </c>
      <c r="D68" s="112">
        <f>'Cash Flow %s Yr1'!D68</f>
        <v>0</v>
      </c>
      <c r="E68" s="112">
        <f>'Cash Flow %s Yr1'!E68</f>
        <v>0</v>
      </c>
      <c r="F68" s="112">
        <f>'Cash Flow %s Yr1'!F68</f>
        <v>0.1</v>
      </c>
      <c r="G68" s="112">
        <f>'Cash Flow %s Yr1'!G68</f>
        <v>0.1</v>
      </c>
      <c r="H68" s="112">
        <f>'Cash Flow %s Yr1'!H68</f>
        <v>0.1</v>
      </c>
      <c r="I68" s="112">
        <f>'Cash Flow %s Yr1'!I68</f>
        <v>0.1</v>
      </c>
      <c r="J68" s="112">
        <f>'Cash Flow %s Yr1'!J68</f>
        <v>0.1</v>
      </c>
      <c r="K68" s="112">
        <f>'Cash Flow %s Yr1'!K68</f>
        <v>0.1</v>
      </c>
      <c r="L68" s="112">
        <f>'Cash Flow %s Yr1'!L68</f>
        <v>0.1</v>
      </c>
      <c r="M68" s="112">
        <f>'Cash Flow %s Yr1'!M68</f>
        <v>0.1</v>
      </c>
      <c r="N68" s="112">
        <f>'Cash Flow %s Yr1'!N68</f>
        <v>0.1</v>
      </c>
      <c r="O68" s="112">
        <f>'Cash Flow %s Yr1'!O68</f>
        <v>0.1</v>
      </c>
      <c r="P68" s="112">
        <f>'Cash Flow %s Yr1'!P68</f>
        <v>0</v>
      </c>
      <c r="Q68" s="112">
        <f>'Cash Flow %s Yr1'!Q68</f>
        <v>0</v>
      </c>
      <c r="R68" s="112">
        <f>'Cash Flow %s Yr1'!R68</f>
        <v>0</v>
      </c>
      <c r="S68" s="111">
        <f t="shared" si="5"/>
        <v>0.99999999999999989</v>
      </c>
    </row>
    <row r="69" spans="1:19" s="31" customFormat="1" x14ac:dyDescent="0.2">
      <c r="A69" s="36"/>
      <c r="B69" s="67" t="str">
        <f>'Expenses Summary'!B23</f>
        <v>2210</v>
      </c>
      <c r="C69" s="67" t="str">
        <f>'Expenses Summary'!C23</f>
        <v>Classified Support Overtime</v>
      </c>
      <c r="D69" s="112">
        <f>'Cash Flow %s Yr1'!D69</f>
        <v>0</v>
      </c>
      <c r="E69" s="112">
        <f>'Cash Flow %s Yr1'!E69</f>
        <v>0</v>
      </c>
      <c r="F69" s="112">
        <f>'Cash Flow %s Yr1'!F69</f>
        <v>0.1</v>
      </c>
      <c r="G69" s="112">
        <f>'Cash Flow %s Yr1'!G69</f>
        <v>0.1</v>
      </c>
      <c r="H69" s="112">
        <f>'Cash Flow %s Yr1'!H69</f>
        <v>0.1</v>
      </c>
      <c r="I69" s="112">
        <f>'Cash Flow %s Yr1'!I69</f>
        <v>0.1</v>
      </c>
      <c r="J69" s="112">
        <f>'Cash Flow %s Yr1'!J69</f>
        <v>0.1</v>
      </c>
      <c r="K69" s="112">
        <f>'Cash Flow %s Yr1'!K69</f>
        <v>0.1</v>
      </c>
      <c r="L69" s="112">
        <f>'Cash Flow %s Yr1'!L69</f>
        <v>0.1</v>
      </c>
      <c r="M69" s="112">
        <f>'Cash Flow %s Yr1'!M69</f>
        <v>0.1</v>
      </c>
      <c r="N69" s="112">
        <f>'Cash Flow %s Yr1'!N69</f>
        <v>0.1</v>
      </c>
      <c r="O69" s="112">
        <f>'Cash Flow %s Yr1'!O69</f>
        <v>0.1</v>
      </c>
      <c r="P69" s="112">
        <f>'Cash Flow %s Yr1'!P69</f>
        <v>0</v>
      </c>
      <c r="Q69" s="112">
        <f>'Cash Flow %s Yr1'!Q69</f>
        <v>0</v>
      </c>
      <c r="R69" s="112">
        <f>'Cash Flow %s Yr1'!R69</f>
        <v>0</v>
      </c>
      <c r="S69" s="111">
        <f t="shared" si="5"/>
        <v>0.99999999999999989</v>
      </c>
    </row>
    <row r="70" spans="1:19" s="31" customFormat="1" x14ac:dyDescent="0.2">
      <c r="A70" s="36"/>
      <c r="B70" s="67" t="str">
        <f>'Expenses Summary'!B24</f>
        <v>2300</v>
      </c>
      <c r="C70" s="67" t="str">
        <f>'Expenses Summary'!C24</f>
        <v>Classified Supervisor and Administrator Salaries</v>
      </c>
      <c r="D70" s="112">
        <f>'Cash Flow %s Yr1'!D70</f>
        <v>0</v>
      </c>
      <c r="E70" s="112">
        <f>'Cash Flow %s Yr1'!E70</f>
        <v>0</v>
      </c>
      <c r="F70" s="112">
        <f>'Cash Flow %s Yr1'!F70</f>
        <v>0.1</v>
      </c>
      <c r="G70" s="112">
        <f>'Cash Flow %s Yr1'!G70</f>
        <v>0.1</v>
      </c>
      <c r="H70" s="112">
        <f>'Cash Flow %s Yr1'!H70</f>
        <v>0.1</v>
      </c>
      <c r="I70" s="112">
        <f>'Cash Flow %s Yr1'!I70</f>
        <v>0.1</v>
      </c>
      <c r="J70" s="112">
        <f>'Cash Flow %s Yr1'!J70</f>
        <v>0.1</v>
      </c>
      <c r="K70" s="112">
        <f>'Cash Flow %s Yr1'!K70</f>
        <v>0.1</v>
      </c>
      <c r="L70" s="112">
        <f>'Cash Flow %s Yr1'!L70</f>
        <v>0.1</v>
      </c>
      <c r="M70" s="112">
        <f>'Cash Flow %s Yr1'!M70</f>
        <v>0.1</v>
      </c>
      <c r="N70" s="112">
        <f>'Cash Flow %s Yr1'!N70</f>
        <v>0.1</v>
      </c>
      <c r="O70" s="112">
        <f>'Cash Flow %s Yr1'!O70</f>
        <v>0.1</v>
      </c>
      <c r="P70" s="112">
        <f>'Cash Flow %s Yr1'!P70</f>
        <v>0</v>
      </c>
      <c r="Q70" s="112">
        <f>'Cash Flow %s Yr1'!Q70</f>
        <v>0</v>
      </c>
      <c r="R70" s="112">
        <f>'Cash Flow %s Yr1'!R70</f>
        <v>0</v>
      </c>
      <c r="S70" s="111">
        <f t="shared" si="5"/>
        <v>0.99999999999999989</v>
      </c>
    </row>
    <row r="71" spans="1:19" s="31" customFormat="1" x14ac:dyDescent="0.2">
      <c r="A71" s="36"/>
      <c r="B71" s="67" t="str">
        <f>'Expenses Summary'!B25</f>
        <v>2400</v>
      </c>
      <c r="C71" s="67" t="str">
        <f>'Expenses Summary'!C25</f>
        <v>Clerical, Technical, and Office Staff Salaries</v>
      </c>
      <c r="D71" s="112">
        <f>'Cash Flow %s Yr1'!D71</f>
        <v>0</v>
      </c>
      <c r="E71" s="112">
        <f>'Cash Flow %s Yr1'!E71</f>
        <v>0</v>
      </c>
      <c r="F71" s="112">
        <f>'Cash Flow %s Yr1'!F71</f>
        <v>0.1</v>
      </c>
      <c r="G71" s="112">
        <f>'Cash Flow %s Yr1'!G71</f>
        <v>0.1</v>
      </c>
      <c r="H71" s="112">
        <f>'Cash Flow %s Yr1'!H71</f>
        <v>0.1</v>
      </c>
      <c r="I71" s="112">
        <f>'Cash Flow %s Yr1'!I71</f>
        <v>0.1</v>
      </c>
      <c r="J71" s="112">
        <f>'Cash Flow %s Yr1'!J71</f>
        <v>0.1</v>
      </c>
      <c r="K71" s="112">
        <f>'Cash Flow %s Yr1'!K71</f>
        <v>0.1</v>
      </c>
      <c r="L71" s="112">
        <f>'Cash Flow %s Yr1'!L71</f>
        <v>0.1</v>
      </c>
      <c r="M71" s="112">
        <f>'Cash Flow %s Yr1'!M71</f>
        <v>0.1</v>
      </c>
      <c r="N71" s="112">
        <f>'Cash Flow %s Yr1'!N71</f>
        <v>0.1</v>
      </c>
      <c r="O71" s="112">
        <f>'Cash Flow %s Yr1'!O71</f>
        <v>0.1</v>
      </c>
      <c r="P71" s="112">
        <f>'Cash Flow %s Yr1'!P71</f>
        <v>0</v>
      </c>
      <c r="Q71" s="112">
        <f>'Cash Flow %s Yr1'!Q71</f>
        <v>0</v>
      </c>
      <c r="R71" s="112">
        <f>'Cash Flow %s Yr1'!R71</f>
        <v>0</v>
      </c>
      <c r="S71" s="111">
        <f t="shared" si="5"/>
        <v>0.99999999999999989</v>
      </c>
    </row>
    <row r="72" spans="1:19" s="31" customFormat="1" x14ac:dyDescent="0.2">
      <c r="A72" s="36"/>
      <c r="B72" s="67" t="str">
        <f>'Expenses Summary'!B26</f>
        <v>2410</v>
      </c>
      <c r="C72" s="67" t="str">
        <f>'Expenses Summary'!C26</f>
        <v>Clerical, Technical, and Office Staff Overtime</v>
      </c>
      <c r="D72" s="112">
        <f>'Cash Flow %s Yr1'!D72</f>
        <v>0</v>
      </c>
      <c r="E72" s="112">
        <f>'Cash Flow %s Yr1'!E72</f>
        <v>0</v>
      </c>
      <c r="F72" s="112">
        <f>'Cash Flow %s Yr1'!F72</f>
        <v>0</v>
      </c>
      <c r="G72" s="112">
        <f>'Cash Flow %s Yr1'!G72</f>
        <v>0</v>
      </c>
      <c r="H72" s="112">
        <f>'Cash Flow %s Yr1'!H72</f>
        <v>0</v>
      </c>
      <c r="I72" s="112">
        <f>'Cash Flow %s Yr1'!I72</f>
        <v>1</v>
      </c>
      <c r="J72" s="112">
        <f>'Cash Flow %s Yr1'!J72</f>
        <v>0</v>
      </c>
      <c r="K72" s="112">
        <f>'Cash Flow %s Yr1'!K72</f>
        <v>0</v>
      </c>
      <c r="L72" s="112">
        <f>'Cash Flow %s Yr1'!L72</f>
        <v>0</v>
      </c>
      <c r="M72" s="112">
        <f>'Cash Flow %s Yr1'!M72</f>
        <v>0</v>
      </c>
      <c r="N72" s="112">
        <f>'Cash Flow %s Yr1'!N72</f>
        <v>0</v>
      </c>
      <c r="O72" s="112">
        <f>'Cash Flow %s Yr1'!O72</f>
        <v>0</v>
      </c>
      <c r="P72" s="112">
        <f>'Cash Flow %s Yr1'!P72</f>
        <v>0</v>
      </c>
      <c r="Q72" s="112">
        <f>'Cash Flow %s Yr1'!Q72</f>
        <v>0</v>
      </c>
      <c r="R72" s="112">
        <f>'Cash Flow %s Yr1'!R72</f>
        <v>0</v>
      </c>
      <c r="S72" s="111">
        <f t="shared" si="5"/>
        <v>1</v>
      </c>
    </row>
    <row r="73" spans="1:19" s="31" customFormat="1" x14ac:dyDescent="0.2">
      <c r="A73" s="36"/>
      <c r="B73" s="67" t="str">
        <f>'Expenses Summary'!B27</f>
        <v>2900</v>
      </c>
      <c r="C73" s="67" t="str">
        <f>'Expenses Summary'!C27</f>
        <v>Other Classified Salaries</v>
      </c>
      <c r="D73" s="112">
        <f>'Cash Flow %s Yr1'!D73</f>
        <v>0.1</v>
      </c>
      <c r="E73" s="112">
        <f>'Cash Flow %s Yr1'!E73</f>
        <v>0.1</v>
      </c>
      <c r="F73" s="112">
        <f>'Cash Flow %s Yr1'!F73</f>
        <v>0.1</v>
      </c>
      <c r="G73" s="112">
        <f>'Cash Flow %s Yr1'!G73</f>
        <v>0.1</v>
      </c>
      <c r="H73" s="112">
        <f>'Cash Flow %s Yr1'!H73</f>
        <v>0.1</v>
      </c>
      <c r="I73" s="112">
        <f>'Cash Flow %s Yr1'!I73</f>
        <v>0.1</v>
      </c>
      <c r="J73" s="112">
        <f>'Cash Flow %s Yr1'!J73</f>
        <v>0.1</v>
      </c>
      <c r="K73" s="112">
        <f>'Cash Flow %s Yr1'!K73</f>
        <v>0.1</v>
      </c>
      <c r="L73" s="112">
        <f>'Cash Flow %s Yr1'!L73</f>
        <v>0.1</v>
      </c>
      <c r="M73" s="112">
        <f>'Cash Flow %s Yr1'!M73</f>
        <v>0.1</v>
      </c>
      <c r="N73" s="112">
        <f>'Cash Flow %s Yr1'!N73</f>
        <v>0</v>
      </c>
      <c r="O73" s="112">
        <f>'Cash Flow %s Yr1'!O73</f>
        <v>0</v>
      </c>
      <c r="P73" s="112">
        <f>'Cash Flow %s Yr1'!P73</f>
        <v>0</v>
      </c>
      <c r="Q73" s="112">
        <f>'Cash Flow %s Yr1'!Q73</f>
        <v>0</v>
      </c>
      <c r="R73" s="112">
        <f>'Cash Flow %s Yr1'!R73</f>
        <v>0</v>
      </c>
      <c r="S73" s="111">
        <f t="shared" si="5"/>
        <v>0.99999999999999989</v>
      </c>
    </row>
    <row r="74" spans="1:19" s="31" customFormat="1" x14ac:dyDescent="0.2">
      <c r="A74" s="36"/>
      <c r="B74" s="67" t="str">
        <f>'Expenses Summary'!B28</f>
        <v>2905</v>
      </c>
      <c r="C74" s="67" t="str">
        <f>'Expenses Summary'!C28</f>
        <v>Other Stipends</v>
      </c>
      <c r="D74" s="112">
        <f>'Cash Flow %s Yr1'!D74</f>
        <v>0</v>
      </c>
      <c r="E74" s="112">
        <f>'Cash Flow %s Yr1'!E74</f>
        <v>0</v>
      </c>
      <c r="F74" s="112">
        <f>'Cash Flow %s Yr1'!F74</f>
        <v>0.1</v>
      </c>
      <c r="G74" s="112">
        <f>'Cash Flow %s Yr1'!G74</f>
        <v>0.1</v>
      </c>
      <c r="H74" s="112">
        <f>'Cash Flow %s Yr1'!H74</f>
        <v>0.1</v>
      </c>
      <c r="I74" s="112">
        <f>'Cash Flow %s Yr1'!I74</f>
        <v>0.1</v>
      </c>
      <c r="J74" s="112">
        <f>'Cash Flow %s Yr1'!J74</f>
        <v>0.1</v>
      </c>
      <c r="K74" s="112">
        <f>'Cash Flow %s Yr1'!K74</f>
        <v>0.1</v>
      </c>
      <c r="L74" s="112">
        <f>'Cash Flow %s Yr1'!L74</f>
        <v>0.1</v>
      </c>
      <c r="M74" s="112">
        <f>'Cash Flow %s Yr1'!M74</f>
        <v>0.1</v>
      </c>
      <c r="N74" s="112">
        <f>'Cash Flow %s Yr1'!N74</f>
        <v>0.1</v>
      </c>
      <c r="O74" s="112">
        <f>'Cash Flow %s Yr1'!O74</f>
        <v>0.1</v>
      </c>
      <c r="P74" s="112">
        <f>'Cash Flow %s Yr1'!P74</f>
        <v>0</v>
      </c>
      <c r="Q74" s="112">
        <f>'Cash Flow %s Yr1'!Q74</f>
        <v>0</v>
      </c>
      <c r="R74" s="112">
        <f>'Cash Flow %s Yr1'!R74</f>
        <v>0</v>
      </c>
      <c r="S74" s="111">
        <f t="shared" si="5"/>
        <v>0.99999999999999989</v>
      </c>
    </row>
    <row r="75" spans="1:19" s="31" customFormat="1" x14ac:dyDescent="0.2">
      <c r="A75" s="36"/>
      <c r="B75" s="67" t="str">
        <f>'Expenses Summary'!B29</f>
        <v>2910</v>
      </c>
      <c r="C75" s="67" t="str">
        <f>'Expenses Summary'!C29</f>
        <v>Other Classified Overtime</v>
      </c>
      <c r="D75" s="112">
        <f>'Cash Flow %s Yr1'!D75</f>
        <v>0</v>
      </c>
      <c r="E75" s="112">
        <f>'Cash Flow %s Yr1'!E75</f>
        <v>0</v>
      </c>
      <c r="F75" s="112">
        <f>'Cash Flow %s Yr1'!F75</f>
        <v>0.1</v>
      </c>
      <c r="G75" s="112">
        <f>'Cash Flow %s Yr1'!G75</f>
        <v>0.1</v>
      </c>
      <c r="H75" s="112">
        <f>'Cash Flow %s Yr1'!H75</f>
        <v>0.1</v>
      </c>
      <c r="I75" s="112">
        <f>'Cash Flow %s Yr1'!I75</f>
        <v>0.1</v>
      </c>
      <c r="J75" s="112">
        <f>'Cash Flow %s Yr1'!J75</f>
        <v>0.1</v>
      </c>
      <c r="K75" s="112">
        <f>'Cash Flow %s Yr1'!K75</f>
        <v>0.1</v>
      </c>
      <c r="L75" s="112">
        <f>'Cash Flow %s Yr1'!L75</f>
        <v>0.1</v>
      </c>
      <c r="M75" s="112">
        <f>'Cash Flow %s Yr1'!M75</f>
        <v>0.1</v>
      </c>
      <c r="N75" s="112">
        <f>'Cash Flow %s Yr1'!N75</f>
        <v>0.1</v>
      </c>
      <c r="O75" s="112">
        <f>'Cash Flow %s Yr1'!O75</f>
        <v>0.1</v>
      </c>
      <c r="P75" s="112">
        <f>'Cash Flow %s Yr1'!P75</f>
        <v>0</v>
      </c>
      <c r="Q75" s="112">
        <f>'Cash Flow %s Yr1'!Q75</f>
        <v>0</v>
      </c>
      <c r="R75" s="112">
        <f>'Cash Flow %s Yr1'!R75</f>
        <v>0</v>
      </c>
      <c r="S75" s="111">
        <f t="shared" si="5"/>
        <v>0.99999999999999989</v>
      </c>
    </row>
    <row r="76" spans="1:19" s="31" customFormat="1" x14ac:dyDescent="0.2">
      <c r="A76" s="36"/>
      <c r="B76" s="88"/>
      <c r="C76" s="93"/>
      <c r="D76" s="100"/>
      <c r="E76" s="100"/>
      <c r="F76" s="119"/>
      <c r="G76" s="119"/>
      <c r="H76" s="119"/>
      <c r="I76" s="119"/>
      <c r="J76" s="119"/>
      <c r="K76" s="119"/>
      <c r="L76" s="119"/>
      <c r="M76" s="119"/>
      <c r="N76" s="119"/>
      <c r="O76" s="119"/>
      <c r="P76" s="100"/>
      <c r="Q76" s="100"/>
      <c r="R76" s="100"/>
      <c r="S76" s="111"/>
    </row>
    <row r="77" spans="1:19" s="31" customFormat="1" x14ac:dyDescent="0.2">
      <c r="A77" s="36"/>
      <c r="B77" s="40"/>
      <c r="C77" s="3"/>
      <c r="D77" s="102"/>
      <c r="E77" s="102"/>
      <c r="F77" s="102"/>
      <c r="G77" s="102"/>
      <c r="H77" s="102"/>
      <c r="I77" s="102"/>
      <c r="J77" s="102"/>
      <c r="K77" s="102"/>
      <c r="L77" s="102"/>
      <c r="M77" s="102"/>
      <c r="N77" s="102"/>
      <c r="O77" s="102"/>
      <c r="P77" s="102"/>
      <c r="Q77" s="102"/>
      <c r="R77" s="102"/>
      <c r="S77" s="111"/>
    </row>
    <row r="78" spans="1:19" s="31" customFormat="1" x14ac:dyDescent="0.2">
      <c r="B78" s="34" t="s">
        <v>735</v>
      </c>
      <c r="C78" s="3"/>
      <c r="D78" s="102"/>
      <c r="E78" s="102"/>
      <c r="F78" s="102"/>
      <c r="G78" s="102"/>
      <c r="H78" s="102"/>
      <c r="I78" s="102"/>
      <c r="J78" s="102"/>
      <c r="K78" s="102"/>
      <c r="L78" s="102"/>
      <c r="M78" s="102"/>
      <c r="N78" s="102"/>
      <c r="O78" s="102"/>
      <c r="P78" s="102"/>
      <c r="Q78" s="102"/>
      <c r="R78" s="102"/>
      <c r="S78" s="111"/>
    </row>
    <row r="79" spans="1:19" s="31" customFormat="1" x14ac:dyDescent="0.2">
      <c r="A79" s="36"/>
      <c r="B79" s="67" t="str">
        <f>'Expenses Summary'!B33</f>
        <v>3101</v>
      </c>
      <c r="C79" s="67" t="str">
        <f>'Expenses Summary'!C33</f>
        <v>State Teachers' Retirement System, certificated positions</v>
      </c>
      <c r="D79" s="112">
        <f>'Cash Flow %s Yr1'!D79</f>
        <v>8.3000000000000004E-2</v>
      </c>
      <c r="E79" s="112">
        <f>'Cash Flow %s Yr1'!E79</f>
        <v>8.3000000000000004E-2</v>
      </c>
      <c r="F79" s="112">
        <f>'Cash Flow %s Yr1'!F79</f>
        <v>8.3000000000000004E-2</v>
      </c>
      <c r="G79" s="112">
        <f>'Cash Flow %s Yr1'!G79</f>
        <v>8.3000000000000004E-2</v>
      </c>
      <c r="H79" s="112">
        <f>'Cash Flow %s Yr1'!H79</f>
        <v>8.3000000000000004E-2</v>
      </c>
      <c r="I79" s="112">
        <f>'Cash Flow %s Yr1'!I79</f>
        <v>8.3000000000000004E-2</v>
      </c>
      <c r="J79" s="112">
        <f>'Cash Flow %s Yr1'!J79</f>
        <v>8.3000000000000004E-2</v>
      </c>
      <c r="K79" s="112">
        <f>'Cash Flow %s Yr1'!K79</f>
        <v>8.3000000000000004E-2</v>
      </c>
      <c r="L79" s="112">
        <f>'Cash Flow %s Yr1'!L79</f>
        <v>8.4000000000000005E-2</v>
      </c>
      <c r="M79" s="112">
        <f>'Cash Flow %s Yr1'!M79</f>
        <v>8.4000000000000005E-2</v>
      </c>
      <c r="N79" s="112">
        <f>'Cash Flow %s Yr1'!N79</f>
        <v>8.4000000000000005E-2</v>
      </c>
      <c r="O79" s="112">
        <f>'Cash Flow %s Yr1'!O79</f>
        <v>8.4000000000000005E-2</v>
      </c>
      <c r="P79" s="112">
        <f>'Cash Flow %s Yr1'!P79</f>
        <v>0</v>
      </c>
      <c r="Q79" s="112">
        <f>'Cash Flow %s Yr1'!Q79</f>
        <v>0</v>
      </c>
      <c r="R79" s="112">
        <f>'Cash Flow %s Yr1'!R79</f>
        <v>0</v>
      </c>
      <c r="S79" s="111">
        <f t="shared" ref="S79:S87" si="6">SUM(D79:R79)</f>
        <v>0.99999999999999989</v>
      </c>
    </row>
    <row r="80" spans="1:19" s="31" customFormat="1" x14ac:dyDescent="0.2">
      <c r="A80" s="36"/>
      <c r="B80" s="67" t="str">
        <f>'Expenses Summary'!B34</f>
        <v>3202</v>
      </c>
      <c r="C80" s="67" t="str">
        <f>'Expenses Summary'!C34</f>
        <v>Public Employees' Retirement System, classified positions</v>
      </c>
      <c r="D80" s="112">
        <f>'Cash Flow %s Yr1'!D80</f>
        <v>8.3000000000000004E-2</v>
      </c>
      <c r="E80" s="112">
        <f>'Cash Flow %s Yr1'!E80</f>
        <v>8.3000000000000004E-2</v>
      </c>
      <c r="F80" s="112">
        <f>'Cash Flow %s Yr1'!F80</f>
        <v>8.3000000000000004E-2</v>
      </c>
      <c r="G80" s="112">
        <f>'Cash Flow %s Yr1'!G80</f>
        <v>8.3000000000000004E-2</v>
      </c>
      <c r="H80" s="112">
        <f>'Cash Flow %s Yr1'!H80</f>
        <v>8.3000000000000004E-2</v>
      </c>
      <c r="I80" s="112">
        <f>'Cash Flow %s Yr1'!I80</f>
        <v>8.3000000000000004E-2</v>
      </c>
      <c r="J80" s="112">
        <f>'Cash Flow %s Yr1'!J80</f>
        <v>8.3000000000000004E-2</v>
      </c>
      <c r="K80" s="112">
        <f>'Cash Flow %s Yr1'!K80</f>
        <v>8.3000000000000004E-2</v>
      </c>
      <c r="L80" s="112">
        <f>'Cash Flow %s Yr1'!L80</f>
        <v>8.4000000000000005E-2</v>
      </c>
      <c r="M80" s="112">
        <f>'Cash Flow %s Yr1'!M80</f>
        <v>8.4000000000000005E-2</v>
      </c>
      <c r="N80" s="112">
        <f>'Cash Flow %s Yr1'!N80</f>
        <v>8.4000000000000005E-2</v>
      </c>
      <c r="O80" s="112">
        <f>'Cash Flow %s Yr1'!O80</f>
        <v>8.4000000000000005E-2</v>
      </c>
      <c r="P80" s="112">
        <f>'Cash Flow %s Yr1'!P80</f>
        <v>0</v>
      </c>
      <c r="Q80" s="112">
        <f>'Cash Flow %s Yr1'!Q80</f>
        <v>0</v>
      </c>
      <c r="R80" s="112">
        <f>'Cash Flow %s Yr1'!R80</f>
        <v>0</v>
      </c>
      <c r="S80" s="111">
        <f t="shared" si="6"/>
        <v>0.99999999999999989</v>
      </c>
    </row>
    <row r="81" spans="1:19" s="31" customFormat="1" x14ac:dyDescent="0.2">
      <c r="A81" s="36"/>
      <c r="B81" s="67" t="str">
        <f>'Expenses Summary'!B35</f>
        <v>3313</v>
      </c>
      <c r="C81" s="67" t="str">
        <f>'Expenses Summary'!C35</f>
        <v>OASDI</v>
      </c>
      <c r="D81" s="112">
        <f>'Cash Flow %s Yr1'!D81</f>
        <v>8.3000000000000004E-2</v>
      </c>
      <c r="E81" s="112">
        <f>'Cash Flow %s Yr1'!E81</f>
        <v>8.3000000000000004E-2</v>
      </c>
      <c r="F81" s="112">
        <f>'Cash Flow %s Yr1'!F81</f>
        <v>8.3000000000000004E-2</v>
      </c>
      <c r="G81" s="112">
        <f>'Cash Flow %s Yr1'!G81</f>
        <v>8.3000000000000004E-2</v>
      </c>
      <c r="H81" s="112">
        <f>'Cash Flow %s Yr1'!H81</f>
        <v>8.3000000000000004E-2</v>
      </c>
      <c r="I81" s="112">
        <f>'Cash Flow %s Yr1'!I81</f>
        <v>8.3000000000000004E-2</v>
      </c>
      <c r="J81" s="112">
        <f>'Cash Flow %s Yr1'!J81</f>
        <v>8.3000000000000004E-2</v>
      </c>
      <c r="K81" s="112">
        <f>'Cash Flow %s Yr1'!K81</f>
        <v>8.3000000000000004E-2</v>
      </c>
      <c r="L81" s="112">
        <f>'Cash Flow %s Yr1'!L81</f>
        <v>8.4000000000000005E-2</v>
      </c>
      <c r="M81" s="112">
        <f>'Cash Flow %s Yr1'!M81</f>
        <v>8.4000000000000005E-2</v>
      </c>
      <c r="N81" s="112">
        <f>'Cash Flow %s Yr1'!N81</f>
        <v>8.4000000000000005E-2</v>
      </c>
      <c r="O81" s="112">
        <f>'Cash Flow %s Yr1'!O81</f>
        <v>8.4000000000000005E-2</v>
      </c>
      <c r="P81" s="112">
        <f>'Cash Flow %s Yr1'!P81</f>
        <v>0</v>
      </c>
      <c r="Q81" s="112">
        <f>'Cash Flow %s Yr1'!Q81</f>
        <v>0</v>
      </c>
      <c r="R81" s="112">
        <f>'Cash Flow %s Yr1'!R81</f>
        <v>0</v>
      </c>
      <c r="S81" s="111">
        <f t="shared" si="6"/>
        <v>0.99999999999999989</v>
      </c>
    </row>
    <row r="82" spans="1:19" s="31" customFormat="1" x14ac:dyDescent="0.2">
      <c r="A82" s="36"/>
      <c r="B82" s="67" t="str">
        <f>'Expenses Summary'!B36</f>
        <v>3323</v>
      </c>
      <c r="C82" s="67" t="str">
        <f>'Expenses Summary'!C36</f>
        <v>Medicare</v>
      </c>
      <c r="D82" s="112">
        <f>'Cash Flow %s Yr1'!D82</f>
        <v>8.3000000000000004E-2</v>
      </c>
      <c r="E82" s="112">
        <f>'Cash Flow %s Yr1'!E82</f>
        <v>8.3000000000000004E-2</v>
      </c>
      <c r="F82" s="112">
        <f>'Cash Flow %s Yr1'!F82</f>
        <v>8.3000000000000004E-2</v>
      </c>
      <c r="G82" s="112">
        <f>'Cash Flow %s Yr1'!G82</f>
        <v>8.3000000000000004E-2</v>
      </c>
      <c r="H82" s="112">
        <f>'Cash Flow %s Yr1'!H82</f>
        <v>8.3000000000000004E-2</v>
      </c>
      <c r="I82" s="112">
        <f>'Cash Flow %s Yr1'!I82</f>
        <v>8.3000000000000004E-2</v>
      </c>
      <c r="J82" s="112">
        <f>'Cash Flow %s Yr1'!J82</f>
        <v>8.3000000000000004E-2</v>
      </c>
      <c r="K82" s="112">
        <f>'Cash Flow %s Yr1'!K82</f>
        <v>8.3000000000000004E-2</v>
      </c>
      <c r="L82" s="112">
        <f>'Cash Flow %s Yr1'!L82</f>
        <v>8.4000000000000005E-2</v>
      </c>
      <c r="M82" s="112">
        <f>'Cash Flow %s Yr1'!M82</f>
        <v>8.4000000000000005E-2</v>
      </c>
      <c r="N82" s="112">
        <f>'Cash Flow %s Yr1'!N82</f>
        <v>8.4000000000000005E-2</v>
      </c>
      <c r="O82" s="112">
        <f>'Cash Flow %s Yr1'!O82</f>
        <v>8.4000000000000005E-2</v>
      </c>
      <c r="P82" s="112">
        <f>'Cash Flow %s Yr1'!P82</f>
        <v>0</v>
      </c>
      <c r="Q82" s="112">
        <f>'Cash Flow %s Yr1'!Q82</f>
        <v>0</v>
      </c>
      <c r="R82" s="112">
        <f>'Cash Flow %s Yr1'!R82</f>
        <v>0</v>
      </c>
      <c r="S82" s="111">
        <f t="shared" si="6"/>
        <v>0.99999999999999989</v>
      </c>
    </row>
    <row r="83" spans="1:19" s="31" customFormat="1" x14ac:dyDescent="0.2">
      <c r="A83" s="36"/>
      <c r="B83" s="67" t="str">
        <f>'Expenses Summary'!B37</f>
        <v>3403</v>
      </c>
      <c r="C83" s="67" t="str">
        <f>'Expenses Summary'!C37</f>
        <v>Health &amp; Welfare Benefits</v>
      </c>
      <c r="D83" s="112">
        <f>'Cash Flow %s Yr1'!D83</f>
        <v>8.3000000000000004E-2</v>
      </c>
      <c r="E83" s="112">
        <f>'Cash Flow %s Yr1'!E83</f>
        <v>8.3000000000000004E-2</v>
      </c>
      <c r="F83" s="112">
        <f>'Cash Flow %s Yr1'!F83</f>
        <v>8.3000000000000004E-2</v>
      </c>
      <c r="G83" s="112">
        <f>'Cash Flow %s Yr1'!G83</f>
        <v>8.3000000000000004E-2</v>
      </c>
      <c r="H83" s="112">
        <f>'Cash Flow %s Yr1'!H83</f>
        <v>8.3000000000000004E-2</v>
      </c>
      <c r="I83" s="112">
        <f>'Cash Flow %s Yr1'!I83</f>
        <v>8.3000000000000004E-2</v>
      </c>
      <c r="J83" s="112">
        <f>'Cash Flow %s Yr1'!J83</f>
        <v>8.3000000000000004E-2</v>
      </c>
      <c r="K83" s="112">
        <f>'Cash Flow %s Yr1'!K83</f>
        <v>8.3000000000000004E-2</v>
      </c>
      <c r="L83" s="112">
        <f>'Cash Flow %s Yr1'!L83</f>
        <v>8.4000000000000005E-2</v>
      </c>
      <c r="M83" s="112">
        <f>'Cash Flow %s Yr1'!M83</f>
        <v>8.4000000000000005E-2</v>
      </c>
      <c r="N83" s="112">
        <f>'Cash Flow %s Yr1'!N83</f>
        <v>8.4000000000000005E-2</v>
      </c>
      <c r="O83" s="112">
        <f>'Cash Flow %s Yr1'!O83</f>
        <v>8.4000000000000005E-2</v>
      </c>
      <c r="P83" s="112">
        <f>'Cash Flow %s Yr1'!P83</f>
        <v>0</v>
      </c>
      <c r="Q83" s="112">
        <f>'Cash Flow %s Yr1'!Q83</f>
        <v>0</v>
      </c>
      <c r="R83" s="112">
        <f>'Cash Flow %s Yr1'!R83</f>
        <v>0</v>
      </c>
      <c r="S83" s="111">
        <f t="shared" si="6"/>
        <v>0.99999999999999989</v>
      </c>
    </row>
    <row r="84" spans="1:19" s="31" customFormat="1" x14ac:dyDescent="0.2">
      <c r="A84" s="36"/>
      <c r="B84" s="67" t="str">
        <f>'Expenses Summary'!B38</f>
        <v>3503</v>
      </c>
      <c r="C84" s="67" t="str">
        <f>'Expenses Summary'!C38</f>
        <v>State Unemployment Insurance</v>
      </c>
      <c r="D84" s="112">
        <f>'Cash Flow %s Yr1'!D84</f>
        <v>8.3000000000000004E-2</v>
      </c>
      <c r="E84" s="112">
        <f>'Cash Flow %s Yr1'!E84</f>
        <v>8.3000000000000004E-2</v>
      </c>
      <c r="F84" s="112">
        <f>'Cash Flow %s Yr1'!F84</f>
        <v>8.3000000000000004E-2</v>
      </c>
      <c r="G84" s="112">
        <f>'Cash Flow %s Yr1'!G84</f>
        <v>8.3000000000000004E-2</v>
      </c>
      <c r="H84" s="112">
        <f>'Cash Flow %s Yr1'!H84</f>
        <v>8.3000000000000004E-2</v>
      </c>
      <c r="I84" s="112">
        <f>'Cash Flow %s Yr1'!I84</f>
        <v>8.3000000000000004E-2</v>
      </c>
      <c r="J84" s="112">
        <f>'Cash Flow %s Yr1'!J84</f>
        <v>8.3000000000000004E-2</v>
      </c>
      <c r="K84" s="112">
        <f>'Cash Flow %s Yr1'!K84</f>
        <v>8.3000000000000004E-2</v>
      </c>
      <c r="L84" s="112">
        <f>'Cash Flow %s Yr1'!L84</f>
        <v>8.4000000000000005E-2</v>
      </c>
      <c r="M84" s="112">
        <f>'Cash Flow %s Yr1'!M84</f>
        <v>8.4000000000000005E-2</v>
      </c>
      <c r="N84" s="112">
        <f>'Cash Flow %s Yr1'!N84</f>
        <v>8.4000000000000005E-2</v>
      </c>
      <c r="O84" s="112">
        <f>'Cash Flow %s Yr1'!O84</f>
        <v>8.4000000000000005E-2</v>
      </c>
      <c r="P84" s="112">
        <f>'Cash Flow %s Yr1'!P84</f>
        <v>0</v>
      </c>
      <c r="Q84" s="112">
        <f>'Cash Flow %s Yr1'!Q84</f>
        <v>0</v>
      </c>
      <c r="R84" s="112">
        <f>'Cash Flow %s Yr1'!R84</f>
        <v>0</v>
      </c>
      <c r="S84" s="111">
        <f t="shared" si="6"/>
        <v>0.99999999999999989</v>
      </c>
    </row>
    <row r="85" spans="1:19" s="31" customFormat="1" x14ac:dyDescent="0.2">
      <c r="A85" s="36"/>
      <c r="B85" s="67" t="str">
        <f>'Expenses Summary'!B39</f>
        <v>3603</v>
      </c>
      <c r="C85" s="67" t="str">
        <f>'Expenses Summary'!C39</f>
        <v>Worker Compensation Insurance</v>
      </c>
      <c r="D85" s="112">
        <f>'Cash Flow %s Yr1'!D85</f>
        <v>8.3000000000000004E-2</v>
      </c>
      <c r="E85" s="112">
        <f>'Cash Flow %s Yr1'!E85</f>
        <v>8.3000000000000004E-2</v>
      </c>
      <c r="F85" s="112">
        <f>'Cash Flow %s Yr1'!F85</f>
        <v>8.3000000000000004E-2</v>
      </c>
      <c r="G85" s="112">
        <f>'Cash Flow %s Yr1'!G85</f>
        <v>8.3000000000000004E-2</v>
      </c>
      <c r="H85" s="112">
        <f>'Cash Flow %s Yr1'!H85</f>
        <v>8.3000000000000004E-2</v>
      </c>
      <c r="I85" s="112">
        <f>'Cash Flow %s Yr1'!I85</f>
        <v>8.3000000000000004E-2</v>
      </c>
      <c r="J85" s="112">
        <f>'Cash Flow %s Yr1'!J85</f>
        <v>8.3000000000000004E-2</v>
      </c>
      <c r="K85" s="112">
        <f>'Cash Flow %s Yr1'!K85</f>
        <v>8.3000000000000004E-2</v>
      </c>
      <c r="L85" s="112">
        <f>'Cash Flow %s Yr1'!L85</f>
        <v>8.4000000000000005E-2</v>
      </c>
      <c r="M85" s="112">
        <f>'Cash Flow %s Yr1'!M85</f>
        <v>8.4000000000000005E-2</v>
      </c>
      <c r="N85" s="112">
        <f>'Cash Flow %s Yr1'!N85</f>
        <v>8.4000000000000005E-2</v>
      </c>
      <c r="O85" s="112">
        <f>'Cash Flow %s Yr1'!O85</f>
        <v>8.4000000000000005E-2</v>
      </c>
      <c r="P85" s="112">
        <f>'Cash Flow %s Yr1'!P85</f>
        <v>0</v>
      </c>
      <c r="Q85" s="112">
        <f>'Cash Flow %s Yr1'!Q85</f>
        <v>0</v>
      </c>
      <c r="R85" s="112">
        <f>'Cash Flow %s Yr1'!R85</f>
        <v>0</v>
      </c>
      <c r="S85" s="111">
        <f t="shared" si="6"/>
        <v>0.99999999999999989</v>
      </c>
    </row>
    <row r="86" spans="1:19" s="31" customFormat="1" x14ac:dyDescent="0.2">
      <c r="A86" s="36"/>
      <c r="B86" s="67" t="str">
        <f>'Expenses Summary'!B40</f>
        <v>3703</v>
      </c>
      <c r="C86" s="67" t="str">
        <f>'Expenses Summary'!C40</f>
        <v>Other Post Employement Benefits</v>
      </c>
      <c r="D86" s="112">
        <f>'Cash Flow %s Yr1'!D86</f>
        <v>8.3000000000000004E-2</v>
      </c>
      <c r="E86" s="112">
        <f>'Cash Flow %s Yr1'!E86</f>
        <v>8.3000000000000004E-2</v>
      </c>
      <c r="F86" s="112">
        <f>'Cash Flow %s Yr1'!F86</f>
        <v>8.3000000000000004E-2</v>
      </c>
      <c r="G86" s="112">
        <f>'Cash Flow %s Yr1'!G86</f>
        <v>8.3000000000000004E-2</v>
      </c>
      <c r="H86" s="112">
        <f>'Cash Flow %s Yr1'!H86</f>
        <v>8.3000000000000004E-2</v>
      </c>
      <c r="I86" s="112">
        <f>'Cash Flow %s Yr1'!I86</f>
        <v>8.3000000000000004E-2</v>
      </c>
      <c r="J86" s="112">
        <f>'Cash Flow %s Yr1'!J86</f>
        <v>8.3000000000000004E-2</v>
      </c>
      <c r="K86" s="112">
        <f>'Cash Flow %s Yr1'!K86</f>
        <v>8.3000000000000004E-2</v>
      </c>
      <c r="L86" s="112">
        <f>'Cash Flow %s Yr1'!L86</f>
        <v>8.4000000000000005E-2</v>
      </c>
      <c r="M86" s="112">
        <f>'Cash Flow %s Yr1'!M86</f>
        <v>8.4000000000000005E-2</v>
      </c>
      <c r="N86" s="112">
        <f>'Cash Flow %s Yr1'!N86</f>
        <v>8.4000000000000005E-2</v>
      </c>
      <c r="O86" s="112">
        <f>'Cash Flow %s Yr1'!O86</f>
        <v>8.4000000000000005E-2</v>
      </c>
      <c r="P86" s="112">
        <f>'Cash Flow %s Yr1'!P86</f>
        <v>0</v>
      </c>
      <c r="Q86" s="112">
        <f>'Cash Flow %s Yr1'!Q86</f>
        <v>0</v>
      </c>
      <c r="R86" s="112">
        <f>'Cash Flow %s Yr1'!R86</f>
        <v>0</v>
      </c>
      <c r="S86" s="111">
        <f t="shared" si="6"/>
        <v>0.99999999999999989</v>
      </c>
    </row>
    <row r="87" spans="1:19" s="31" customFormat="1" x14ac:dyDescent="0.2">
      <c r="A87" s="36"/>
      <c r="B87" s="67" t="str">
        <f>'Expenses Summary'!B41</f>
        <v>3903</v>
      </c>
      <c r="C87" s="67" t="str">
        <f>'Expenses Summary'!C41</f>
        <v>Other Benefits</v>
      </c>
      <c r="D87" s="112">
        <f>'Cash Flow %s Yr1'!D87</f>
        <v>8.3000000000000004E-2</v>
      </c>
      <c r="E87" s="112">
        <f>'Cash Flow %s Yr1'!E87</f>
        <v>8.3000000000000004E-2</v>
      </c>
      <c r="F87" s="112">
        <f>'Cash Flow %s Yr1'!F87</f>
        <v>8.3000000000000004E-2</v>
      </c>
      <c r="G87" s="112">
        <f>'Cash Flow %s Yr1'!G87</f>
        <v>8.3000000000000004E-2</v>
      </c>
      <c r="H87" s="112">
        <f>'Cash Flow %s Yr1'!H87</f>
        <v>8.3000000000000004E-2</v>
      </c>
      <c r="I87" s="112">
        <f>'Cash Flow %s Yr1'!I87</f>
        <v>8.3000000000000004E-2</v>
      </c>
      <c r="J87" s="112">
        <f>'Cash Flow %s Yr1'!J87</f>
        <v>8.3000000000000004E-2</v>
      </c>
      <c r="K87" s="112">
        <f>'Cash Flow %s Yr1'!K87</f>
        <v>8.3000000000000004E-2</v>
      </c>
      <c r="L87" s="112">
        <f>'Cash Flow %s Yr1'!L87</f>
        <v>8.4000000000000005E-2</v>
      </c>
      <c r="M87" s="112">
        <f>'Cash Flow %s Yr1'!M87</f>
        <v>8.4000000000000005E-2</v>
      </c>
      <c r="N87" s="112">
        <f>'Cash Flow %s Yr1'!N87</f>
        <v>8.4000000000000005E-2</v>
      </c>
      <c r="O87" s="112">
        <f>'Cash Flow %s Yr1'!O87</f>
        <v>8.4000000000000005E-2</v>
      </c>
      <c r="P87" s="112">
        <f>'Cash Flow %s Yr1'!P87</f>
        <v>0</v>
      </c>
      <c r="Q87" s="112">
        <f>'Cash Flow %s Yr1'!Q87</f>
        <v>0</v>
      </c>
      <c r="R87" s="112">
        <f>'Cash Flow %s Yr1'!R87</f>
        <v>0</v>
      </c>
      <c r="S87" s="111">
        <f t="shared" si="6"/>
        <v>0.99999999999999989</v>
      </c>
    </row>
    <row r="88" spans="1:19" s="31" customFormat="1" x14ac:dyDescent="0.2">
      <c r="A88" s="36"/>
      <c r="B88" s="122"/>
      <c r="C88" s="122"/>
      <c r="D88" s="123"/>
      <c r="E88" s="123"/>
      <c r="F88" s="123"/>
      <c r="G88" s="123"/>
      <c r="H88" s="123"/>
      <c r="I88" s="123"/>
      <c r="J88" s="123"/>
      <c r="K88" s="123"/>
      <c r="L88" s="123"/>
      <c r="M88" s="123"/>
      <c r="N88" s="123"/>
      <c r="O88" s="123"/>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c r="S89" s="111"/>
    </row>
    <row r="90" spans="1:19" s="31" customFormat="1" x14ac:dyDescent="0.2">
      <c r="B90" s="34" t="s">
        <v>678</v>
      </c>
      <c r="C90" s="3"/>
      <c r="D90" s="95"/>
      <c r="E90" s="95"/>
      <c r="F90" s="95"/>
      <c r="G90" s="95"/>
      <c r="H90" s="95"/>
      <c r="I90" s="95"/>
      <c r="J90" s="95"/>
      <c r="K90" s="95"/>
      <c r="L90" s="95"/>
      <c r="M90" s="95"/>
      <c r="N90" s="95"/>
      <c r="O90" s="95"/>
      <c r="P90" s="95"/>
      <c r="Q90" s="95"/>
      <c r="R90" s="95"/>
      <c r="S90" s="111"/>
    </row>
    <row r="91" spans="1:19" s="31" customFormat="1" x14ac:dyDescent="0.2">
      <c r="A91" s="36"/>
      <c r="B91" s="66" t="str">
        <f>'Expenses Summary'!B47</f>
        <v>4100</v>
      </c>
      <c r="C91" s="66" t="str">
        <f>'Expenses Summary'!C47</f>
        <v>Approved Textbooks and Core Curricula Materials</v>
      </c>
      <c r="D91" s="112">
        <f>'Cash Flow %s Yr1'!D91</f>
        <v>0</v>
      </c>
      <c r="E91" s="112">
        <f>'Cash Flow %s Yr1'!E91</f>
        <v>0</v>
      </c>
      <c r="F91" s="112">
        <f>'Cash Flow %s Yr1'!F91</f>
        <v>0</v>
      </c>
      <c r="G91" s="112">
        <f>'Cash Flow %s Yr1'!G91</f>
        <v>0</v>
      </c>
      <c r="H91" s="112">
        <f>'Cash Flow %s Yr1'!H91</f>
        <v>0.25</v>
      </c>
      <c r="I91" s="112">
        <f>'Cash Flow %s Yr1'!I91</f>
        <v>0.25</v>
      </c>
      <c r="J91" s="112">
        <f>'Cash Flow %s Yr1'!J91</f>
        <v>0.25</v>
      </c>
      <c r="K91" s="112">
        <f>'Cash Flow %s Yr1'!K91</f>
        <v>0</v>
      </c>
      <c r="L91" s="112">
        <f>'Cash Flow %s Yr1'!L91</f>
        <v>0.25</v>
      </c>
      <c r="M91" s="112">
        <f>'Cash Flow %s Yr1'!M91</f>
        <v>0</v>
      </c>
      <c r="N91" s="112">
        <f>'Cash Flow %s Yr1'!N91</f>
        <v>0</v>
      </c>
      <c r="O91" s="112">
        <f>'Cash Flow %s Yr1'!O91</f>
        <v>0</v>
      </c>
      <c r="P91" s="112">
        <f>'Cash Flow %s Yr1'!P91</f>
        <v>0</v>
      </c>
      <c r="Q91" s="112">
        <f>'Cash Flow %s Yr1'!Q91</f>
        <v>0</v>
      </c>
      <c r="R91" s="112">
        <f>'Cash Flow %s Yr1'!R91</f>
        <v>0</v>
      </c>
      <c r="S91" s="111">
        <f t="shared" ref="S91:S96" si="7">SUM(D91:R91)</f>
        <v>1</v>
      </c>
    </row>
    <row r="92" spans="1:19" x14ac:dyDescent="0.2">
      <c r="A92" s="36"/>
      <c r="B92" s="66" t="str">
        <f>'Expenses Summary'!B48</f>
        <v>4200</v>
      </c>
      <c r="C92" s="66" t="str">
        <f>'Expenses Summary'!C48</f>
        <v>Books and Other Reference Materials</v>
      </c>
      <c r="D92" s="112">
        <f>'Cash Flow %s Yr1'!D92</f>
        <v>0</v>
      </c>
      <c r="E92" s="112">
        <f>'Cash Flow %s Yr1'!E92</f>
        <v>0</v>
      </c>
      <c r="F92" s="112">
        <f>'Cash Flow %s Yr1'!F92</f>
        <v>0</v>
      </c>
      <c r="G92" s="112">
        <f>'Cash Flow %s Yr1'!G92</f>
        <v>0</v>
      </c>
      <c r="H92" s="112">
        <f>'Cash Flow %s Yr1'!H92</f>
        <v>0.25</v>
      </c>
      <c r="I92" s="112">
        <f>'Cash Flow %s Yr1'!I92</f>
        <v>0.25</v>
      </c>
      <c r="J92" s="112">
        <f>'Cash Flow %s Yr1'!J92</f>
        <v>0.25</v>
      </c>
      <c r="K92" s="112">
        <f>'Cash Flow %s Yr1'!K92</f>
        <v>0</v>
      </c>
      <c r="L92" s="112">
        <f>'Cash Flow %s Yr1'!L92</f>
        <v>0.25</v>
      </c>
      <c r="M92" s="112">
        <f>'Cash Flow %s Yr1'!M92</f>
        <v>0</v>
      </c>
      <c r="N92" s="112">
        <f>'Cash Flow %s Yr1'!N92</f>
        <v>0</v>
      </c>
      <c r="O92" s="112">
        <f>'Cash Flow %s Yr1'!O92</f>
        <v>0</v>
      </c>
      <c r="P92" s="112">
        <f>'Cash Flow %s Yr1'!P92</f>
        <v>0</v>
      </c>
      <c r="Q92" s="112">
        <f>'Cash Flow %s Yr1'!Q92</f>
        <v>0</v>
      </c>
      <c r="R92" s="112">
        <f>'Cash Flow %s Yr1'!R92</f>
        <v>0</v>
      </c>
      <c r="S92" s="111">
        <f t="shared" si="7"/>
        <v>1</v>
      </c>
    </row>
    <row r="93" spans="1:19" x14ac:dyDescent="0.2">
      <c r="A93" s="36"/>
      <c r="B93" s="66" t="str">
        <f>'Expenses Summary'!B49</f>
        <v>4300</v>
      </c>
      <c r="C93" s="66" t="str">
        <f>'Expenses Summary'!C49</f>
        <v>Materials and Supplies</v>
      </c>
      <c r="D93" s="112">
        <f>'Cash Flow %s Yr1'!D93</f>
        <v>0</v>
      </c>
      <c r="E93" s="112">
        <f>'Cash Flow %s Yr1'!E93</f>
        <v>0</v>
      </c>
      <c r="F93" s="112">
        <f>'Cash Flow %s Yr1'!F93</f>
        <v>0.3</v>
      </c>
      <c r="G93" s="112">
        <f>'Cash Flow %s Yr1'!G93</f>
        <v>0</v>
      </c>
      <c r="H93" s="112">
        <f>'Cash Flow %s Yr1'!H93</f>
        <v>0.3</v>
      </c>
      <c r="I93" s="112">
        <f>'Cash Flow %s Yr1'!I93</f>
        <v>0</v>
      </c>
      <c r="J93" s="112">
        <f>'Cash Flow %s Yr1'!J93</f>
        <v>0.3</v>
      </c>
      <c r="K93" s="112">
        <f>'Cash Flow %s Yr1'!K93</f>
        <v>0</v>
      </c>
      <c r="L93" s="112">
        <f>'Cash Flow %s Yr1'!L93</f>
        <v>0.1</v>
      </c>
      <c r="M93" s="112">
        <f>'Cash Flow %s Yr1'!M93</f>
        <v>0</v>
      </c>
      <c r="N93" s="112">
        <f>'Cash Flow %s Yr1'!N93</f>
        <v>0</v>
      </c>
      <c r="O93" s="112">
        <f>'Cash Flow %s Yr1'!O93</f>
        <v>0</v>
      </c>
      <c r="P93" s="112">
        <f>'Cash Flow %s Yr1'!P93</f>
        <v>0</v>
      </c>
      <c r="Q93" s="112">
        <f>'Cash Flow %s Yr1'!Q93</f>
        <v>0</v>
      </c>
      <c r="R93" s="112">
        <f>'Cash Flow %s Yr1'!R93</f>
        <v>0</v>
      </c>
      <c r="S93" s="111">
        <f t="shared" si="7"/>
        <v>0.99999999999999989</v>
      </c>
    </row>
    <row r="94" spans="1:19" x14ac:dyDescent="0.2">
      <c r="A94" s="36"/>
      <c r="B94" s="66" t="str">
        <f>'Expenses Summary'!B50</f>
        <v>4315</v>
      </c>
      <c r="C94" s="66" t="str">
        <f>'Expenses Summary'!C50</f>
        <v>Classroom Materials and Supplies</v>
      </c>
      <c r="D94" s="112">
        <f>'Cash Flow %s Yr1'!D94</f>
        <v>0</v>
      </c>
      <c r="E94" s="112">
        <f>'Cash Flow %s Yr1'!E94</f>
        <v>0</v>
      </c>
      <c r="F94" s="112">
        <f>'Cash Flow %s Yr1'!F94</f>
        <v>0.1</v>
      </c>
      <c r="G94" s="112">
        <f>'Cash Flow %s Yr1'!G94</f>
        <v>0.1</v>
      </c>
      <c r="H94" s="112">
        <f>'Cash Flow %s Yr1'!H94</f>
        <v>0.2</v>
      </c>
      <c r="I94" s="112">
        <f>'Cash Flow %s Yr1'!I94</f>
        <v>0.1</v>
      </c>
      <c r="J94" s="112">
        <f>'Cash Flow %s Yr1'!J94</f>
        <v>0.2</v>
      </c>
      <c r="K94" s="112">
        <f>'Cash Flow %s Yr1'!K94</f>
        <v>0.1</v>
      </c>
      <c r="L94" s="112">
        <f>'Cash Flow %s Yr1'!L94</f>
        <v>0.1</v>
      </c>
      <c r="M94" s="112">
        <f>'Cash Flow %s Yr1'!M94</f>
        <v>0.1</v>
      </c>
      <c r="N94" s="112">
        <f>'Cash Flow %s Yr1'!N94</f>
        <v>0</v>
      </c>
      <c r="O94" s="112">
        <f>'Cash Flow %s Yr1'!O94</f>
        <v>0</v>
      </c>
      <c r="P94" s="112">
        <f>'Cash Flow %s Yr1'!P94</f>
        <v>0</v>
      </c>
      <c r="Q94" s="112">
        <f>'Cash Flow %s Yr1'!Q94</f>
        <v>0</v>
      </c>
      <c r="R94" s="112">
        <f>'Cash Flow %s Yr1'!R94</f>
        <v>0</v>
      </c>
      <c r="S94" s="111">
        <f t="shared" si="7"/>
        <v>0.99999999999999989</v>
      </c>
    </row>
    <row r="95" spans="1:19" x14ac:dyDescent="0.2">
      <c r="A95" s="36"/>
      <c r="B95" s="66" t="str">
        <f>'Expenses Summary'!B51</f>
        <v>4400</v>
      </c>
      <c r="C95" s="66" t="str">
        <f>'Expenses Summary'!C51</f>
        <v>Noncapitalized Equipment</v>
      </c>
      <c r="D95" s="112">
        <f>'Cash Flow %s Yr1'!D95</f>
        <v>8.3000000000000004E-2</v>
      </c>
      <c r="E95" s="112">
        <f>'Cash Flow %s Yr1'!E95</f>
        <v>8.3000000000000004E-2</v>
      </c>
      <c r="F95" s="112">
        <f>'Cash Flow %s Yr1'!F95</f>
        <v>8.3000000000000004E-2</v>
      </c>
      <c r="G95" s="112">
        <f>'Cash Flow %s Yr1'!G95</f>
        <v>8.3000000000000004E-2</v>
      </c>
      <c r="H95" s="112">
        <f>'Cash Flow %s Yr1'!H95</f>
        <v>8.3000000000000004E-2</v>
      </c>
      <c r="I95" s="112">
        <f>'Cash Flow %s Yr1'!I95</f>
        <v>8.3000000000000004E-2</v>
      </c>
      <c r="J95" s="112">
        <f>'Cash Flow %s Yr1'!J95</f>
        <v>8.3000000000000004E-2</v>
      </c>
      <c r="K95" s="112">
        <f>'Cash Flow %s Yr1'!K95</f>
        <v>8.3000000000000004E-2</v>
      </c>
      <c r="L95" s="112">
        <f>'Cash Flow %s Yr1'!L95</f>
        <v>8.4000000000000005E-2</v>
      </c>
      <c r="M95" s="112">
        <f>'Cash Flow %s Yr1'!M95</f>
        <v>8.4000000000000005E-2</v>
      </c>
      <c r="N95" s="112">
        <f>'Cash Flow %s Yr1'!N95</f>
        <v>8.4000000000000005E-2</v>
      </c>
      <c r="O95" s="112">
        <f>'Cash Flow %s Yr1'!O95</f>
        <v>8.4000000000000005E-2</v>
      </c>
      <c r="P95" s="112">
        <f>'Cash Flow %s Yr1'!P95</f>
        <v>0</v>
      </c>
      <c r="Q95" s="112">
        <f>'Cash Flow %s Yr1'!Q95</f>
        <v>0</v>
      </c>
      <c r="R95" s="112">
        <f>'Cash Flow %s Yr1'!R95</f>
        <v>0</v>
      </c>
      <c r="S95" s="111">
        <f t="shared" si="7"/>
        <v>0.99999999999999989</v>
      </c>
    </row>
    <row r="96" spans="1:19" x14ac:dyDescent="0.2">
      <c r="A96" s="36"/>
      <c r="B96" s="66" t="str">
        <f>'Expenses Summary'!B52</f>
        <v>4430</v>
      </c>
      <c r="C96" s="66" t="str">
        <f>'Expenses Summary'!C52</f>
        <v>General Student Equipment</v>
      </c>
      <c r="D96" s="112">
        <f>'Cash Flow %s Yr1'!D96</f>
        <v>0</v>
      </c>
      <c r="E96" s="112">
        <f>'Cash Flow %s Yr1'!E96</f>
        <v>0</v>
      </c>
      <c r="F96" s="112">
        <f>'Cash Flow %s Yr1'!F96</f>
        <v>0.6</v>
      </c>
      <c r="G96" s="112">
        <f>'Cash Flow %s Yr1'!G96</f>
        <v>0</v>
      </c>
      <c r="H96" s="112">
        <f>'Cash Flow %s Yr1'!H96</f>
        <v>0</v>
      </c>
      <c r="I96" s="112">
        <f>'Cash Flow %s Yr1'!I96</f>
        <v>0</v>
      </c>
      <c r="J96" s="112">
        <f>'Cash Flow %s Yr1'!J96</f>
        <v>0.4</v>
      </c>
      <c r="K96" s="112">
        <f>'Cash Flow %s Yr1'!K96</f>
        <v>0</v>
      </c>
      <c r="L96" s="112">
        <f>'Cash Flow %s Yr1'!L96</f>
        <v>0</v>
      </c>
      <c r="M96" s="112">
        <f>'Cash Flow %s Yr1'!M96</f>
        <v>0</v>
      </c>
      <c r="N96" s="112">
        <f>'Cash Flow %s Yr1'!N96</f>
        <v>0</v>
      </c>
      <c r="O96" s="112">
        <f>'Cash Flow %s Yr1'!O96</f>
        <v>0</v>
      </c>
      <c r="P96" s="112">
        <f>'Cash Flow %s Yr1'!P96</f>
        <v>0</v>
      </c>
      <c r="Q96" s="112">
        <f>'Cash Flow %s Yr1'!Q96</f>
        <v>0</v>
      </c>
      <c r="R96" s="112">
        <f>'Cash Flow %s Yr1'!R96</f>
        <v>0</v>
      </c>
      <c r="S96" s="111">
        <f t="shared" si="7"/>
        <v>1</v>
      </c>
    </row>
    <row r="97" spans="1:19" hidden="1" outlineLevel="1" x14ac:dyDescent="0.2">
      <c r="A97" s="36"/>
      <c r="B97" s="66">
        <f>'Expenses Summary'!B53</f>
        <v>0</v>
      </c>
      <c r="C97" s="66">
        <f>'Expenses Summary'!C53</f>
        <v>0</v>
      </c>
      <c r="D97" s="112">
        <f>'Cash Flow %s Yr1'!D97</f>
        <v>0</v>
      </c>
      <c r="E97" s="112">
        <f>'Cash Flow %s Yr1'!E97</f>
        <v>0</v>
      </c>
      <c r="F97" s="112">
        <f>'Cash Flow %s Yr1'!F97</f>
        <v>0.1</v>
      </c>
      <c r="G97" s="112">
        <f>'Cash Flow %s Yr1'!G97</f>
        <v>0.1</v>
      </c>
      <c r="H97" s="112">
        <f>'Cash Flow %s Yr1'!H97</f>
        <v>0.1</v>
      </c>
      <c r="I97" s="112">
        <f>'Cash Flow %s Yr1'!I97</f>
        <v>0.1</v>
      </c>
      <c r="J97" s="112">
        <f>'Cash Flow %s Yr1'!J97</f>
        <v>0.1</v>
      </c>
      <c r="K97" s="112">
        <f>'Cash Flow %s Yr1'!K97</f>
        <v>0.1</v>
      </c>
      <c r="L97" s="112">
        <f>'Cash Flow %s Yr1'!L97</f>
        <v>0.1</v>
      </c>
      <c r="M97" s="112">
        <f>'Cash Flow %s Yr1'!M97</f>
        <v>0.1</v>
      </c>
      <c r="N97" s="112">
        <f>'Cash Flow %s Yr1'!N97</f>
        <v>0.1</v>
      </c>
      <c r="O97" s="112">
        <f>'Cash Flow %s Yr1'!O97</f>
        <v>0.1</v>
      </c>
      <c r="P97" s="112">
        <f>'Cash Flow %s Yr1'!P97</f>
        <v>0</v>
      </c>
      <c r="Q97" s="112">
        <f>'Cash Flow %s Yr1'!Q97</f>
        <v>0</v>
      </c>
      <c r="R97" s="112">
        <f>'Cash Flow %s Yr1'!R97</f>
        <v>0</v>
      </c>
      <c r="S97" s="111">
        <f t="shared" ref="S97:S106" si="8">SUM(D97:R97)</f>
        <v>0.99999999999999989</v>
      </c>
    </row>
    <row r="98" spans="1:19" hidden="1" outlineLevel="1" x14ac:dyDescent="0.2">
      <c r="A98" s="36"/>
      <c r="B98" s="66">
        <f>'Expenses Summary'!B54</f>
        <v>0</v>
      </c>
      <c r="C98" s="66">
        <f>'Expenses Summary'!C54</f>
        <v>0</v>
      </c>
      <c r="D98" s="112">
        <f>'Cash Flow %s Yr1'!D98</f>
        <v>0</v>
      </c>
      <c r="E98" s="112">
        <f>'Cash Flow %s Yr1'!E98</f>
        <v>0</v>
      </c>
      <c r="F98" s="112">
        <f>'Cash Flow %s Yr1'!F98</f>
        <v>0.1</v>
      </c>
      <c r="G98" s="112">
        <f>'Cash Flow %s Yr1'!G98</f>
        <v>0.1</v>
      </c>
      <c r="H98" s="112">
        <f>'Cash Flow %s Yr1'!H98</f>
        <v>0.1</v>
      </c>
      <c r="I98" s="112">
        <f>'Cash Flow %s Yr1'!I98</f>
        <v>0.1</v>
      </c>
      <c r="J98" s="112">
        <f>'Cash Flow %s Yr1'!J98</f>
        <v>0.1</v>
      </c>
      <c r="K98" s="112">
        <f>'Cash Flow %s Yr1'!K98</f>
        <v>0.1</v>
      </c>
      <c r="L98" s="112">
        <f>'Cash Flow %s Yr1'!L98</f>
        <v>0.1</v>
      </c>
      <c r="M98" s="112">
        <f>'Cash Flow %s Yr1'!M98</f>
        <v>0.1</v>
      </c>
      <c r="N98" s="112">
        <f>'Cash Flow %s Yr1'!N98</f>
        <v>0.1</v>
      </c>
      <c r="O98" s="112">
        <f>'Cash Flow %s Yr1'!O98</f>
        <v>0.1</v>
      </c>
      <c r="P98" s="112">
        <f>'Cash Flow %s Yr1'!P98</f>
        <v>0</v>
      </c>
      <c r="Q98" s="112">
        <f>'Cash Flow %s Yr1'!Q98</f>
        <v>0</v>
      </c>
      <c r="R98" s="112">
        <f>'Cash Flow %s Yr1'!R98</f>
        <v>0</v>
      </c>
      <c r="S98" s="111">
        <f t="shared" si="8"/>
        <v>0.99999999999999989</v>
      </c>
    </row>
    <row r="99" spans="1:19" hidden="1" outlineLevel="1" x14ac:dyDescent="0.2">
      <c r="A99" s="36"/>
      <c r="B99" s="66">
        <f>'Expenses Summary'!B55</f>
        <v>0</v>
      </c>
      <c r="C99" s="66">
        <f>'Expenses Summary'!C55</f>
        <v>0</v>
      </c>
      <c r="D99" s="112">
        <f>'Cash Flow %s Yr1'!D99</f>
        <v>0</v>
      </c>
      <c r="E99" s="112">
        <f>'Cash Flow %s Yr1'!E99</f>
        <v>0</v>
      </c>
      <c r="F99" s="112">
        <f>'Cash Flow %s Yr1'!F99</f>
        <v>0.1</v>
      </c>
      <c r="G99" s="112">
        <f>'Cash Flow %s Yr1'!G99</f>
        <v>0.1</v>
      </c>
      <c r="H99" s="112">
        <f>'Cash Flow %s Yr1'!H99</f>
        <v>0.1</v>
      </c>
      <c r="I99" s="112">
        <f>'Cash Flow %s Yr1'!I99</f>
        <v>0.1</v>
      </c>
      <c r="J99" s="112">
        <f>'Cash Flow %s Yr1'!J99</f>
        <v>0.1</v>
      </c>
      <c r="K99" s="112">
        <f>'Cash Flow %s Yr1'!K99</f>
        <v>0.1</v>
      </c>
      <c r="L99" s="112">
        <f>'Cash Flow %s Yr1'!L99</f>
        <v>0.1</v>
      </c>
      <c r="M99" s="112">
        <f>'Cash Flow %s Yr1'!M99</f>
        <v>0.1</v>
      </c>
      <c r="N99" s="112">
        <f>'Cash Flow %s Yr1'!N99</f>
        <v>0.1</v>
      </c>
      <c r="O99" s="112">
        <f>'Cash Flow %s Yr1'!O99</f>
        <v>0.1</v>
      </c>
      <c r="P99" s="112">
        <f>'Cash Flow %s Yr1'!P99</f>
        <v>0</v>
      </c>
      <c r="Q99" s="112">
        <f>'Cash Flow %s Yr1'!Q99</f>
        <v>0</v>
      </c>
      <c r="R99" s="112">
        <f>'Cash Flow %s Yr1'!R99</f>
        <v>0</v>
      </c>
      <c r="S99" s="111">
        <f t="shared" si="8"/>
        <v>0.99999999999999989</v>
      </c>
    </row>
    <row r="100" spans="1:19" hidden="1" outlineLevel="1" x14ac:dyDescent="0.2">
      <c r="A100" s="36"/>
      <c r="B100" s="66">
        <f>'Expenses Summary'!B56</f>
        <v>0</v>
      </c>
      <c r="C100" s="66">
        <f>'Expenses Summary'!C56</f>
        <v>0</v>
      </c>
      <c r="D100" s="112">
        <f>'Cash Flow %s Yr1'!D100</f>
        <v>0</v>
      </c>
      <c r="E100" s="112">
        <f>'Cash Flow %s Yr1'!E100</f>
        <v>0</v>
      </c>
      <c r="F100" s="112">
        <f>'Cash Flow %s Yr1'!F100</f>
        <v>0.1</v>
      </c>
      <c r="G100" s="112">
        <f>'Cash Flow %s Yr1'!G100</f>
        <v>0.1</v>
      </c>
      <c r="H100" s="112">
        <f>'Cash Flow %s Yr1'!H100</f>
        <v>0.1</v>
      </c>
      <c r="I100" s="112">
        <f>'Cash Flow %s Yr1'!I100</f>
        <v>0.1</v>
      </c>
      <c r="J100" s="112">
        <f>'Cash Flow %s Yr1'!J100</f>
        <v>0.1</v>
      </c>
      <c r="K100" s="112">
        <f>'Cash Flow %s Yr1'!K100</f>
        <v>0.1</v>
      </c>
      <c r="L100" s="112">
        <f>'Cash Flow %s Yr1'!L100</f>
        <v>0.1</v>
      </c>
      <c r="M100" s="112">
        <f>'Cash Flow %s Yr1'!M100</f>
        <v>0.1</v>
      </c>
      <c r="N100" s="112">
        <f>'Cash Flow %s Yr1'!N100</f>
        <v>0.1</v>
      </c>
      <c r="O100" s="112">
        <f>'Cash Flow %s Yr1'!O100</f>
        <v>0.1</v>
      </c>
      <c r="P100" s="112">
        <f>'Cash Flow %s Yr1'!P100</f>
        <v>0</v>
      </c>
      <c r="Q100" s="112">
        <f>'Cash Flow %s Yr1'!Q100</f>
        <v>0</v>
      </c>
      <c r="R100" s="112">
        <f>'Cash Flow %s Yr1'!R100</f>
        <v>0</v>
      </c>
      <c r="S100" s="111">
        <f t="shared" si="8"/>
        <v>0.99999999999999989</v>
      </c>
    </row>
    <row r="101" spans="1:19" hidden="1" outlineLevel="1" x14ac:dyDescent="0.2">
      <c r="A101" s="36"/>
      <c r="B101" s="66">
        <f>'Expenses Summary'!B57</f>
        <v>0</v>
      </c>
      <c r="C101" s="66">
        <f>'Expenses Summary'!C57</f>
        <v>0</v>
      </c>
      <c r="D101" s="112">
        <f>'Cash Flow %s Yr1'!D101</f>
        <v>0</v>
      </c>
      <c r="E101" s="112">
        <f>'Cash Flow %s Yr1'!E101</f>
        <v>0</v>
      </c>
      <c r="F101" s="112">
        <f>'Cash Flow %s Yr1'!F101</f>
        <v>0.1</v>
      </c>
      <c r="G101" s="112">
        <f>'Cash Flow %s Yr1'!G101</f>
        <v>0.1</v>
      </c>
      <c r="H101" s="112">
        <f>'Cash Flow %s Yr1'!H101</f>
        <v>0.1</v>
      </c>
      <c r="I101" s="112">
        <f>'Cash Flow %s Yr1'!I101</f>
        <v>0.1</v>
      </c>
      <c r="J101" s="112">
        <f>'Cash Flow %s Yr1'!J101</f>
        <v>0.1</v>
      </c>
      <c r="K101" s="112">
        <f>'Cash Flow %s Yr1'!K101</f>
        <v>0.1</v>
      </c>
      <c r="L101" s="112">
        <f>'Cash Flow %s Yr1'!L101</f>
        <v>0.1</v>
      </c>
      <c r="M101" s="112">
        <f>'Cash Flow %s Yr1'!M101</f>
        <v>0.1</v>
      </c>
      <c r="N101" s="112">
        <f>'Cash Flow %s Yr1'!N101</f>
        <v>0.1</v>
      </c>
      <c r="O101" s="112">
        <f>'Cash Flow %s Yr1'!O101</f>
        <v>0.1</v>
      </c>
      <c r="P101" s="112">
        <f>'Cash Flow %s Yr1'!P101</f>
        <v>0</v>
      </c>
      <c r="Q101" s="112">
        <f>'Cash Flow %s Yr1'!Q101</f>
        <v>0</v>
      </c>
      <c r="R101" s="112">
        <f>'Cash Flow %s Yr1'!R101</f>
        <v>0</v>
      </c>
      <c r="S101" s="111">
        <f t="shared" si="8"/>
        <v>0.99999999999999989</v>
      </c>
    </row>
    <row r="102" spans="1:19" hidden="1" outlineLevel="1" x14ac:dyDescent="0.2">
      <c r="A102" s="36"/>
      <c r="B102" s="66">
        <f>'Expenses Summary'!B58</f>
        <v>0</v>
      </c>
      <c r="C102" s="66">
        <f>'Expenses Summary'!C58</f>
        <v>0</v>
      </c>
      <c r="D102" s="112">
        <f>'Cash Flow %s Yr1'!D102</f>
        <v>0</v>
      </c>
      <c r="E102" s="112">
        <f>'Cash Flow %s Yr1'!E102</f>
        <v>0</v>
      </c>
      <c r="F102" s="112">
        <f>'Cash Flow %s Yr1'!F102</f>
        <v>0.1</v>
      </c>
      <c r="G102" s="112">
        <f>'Cash Flow %s Yr1'!G102</f>
        <v>0.1</v>
      </c>
      <c r="H102" s="112">
        <f>'Cash Flow %s Yr1'!H102</f>
        <v>0.1</v>
      </c>
      <c r="I102" s="112">
        <f>'Cash Flow %s Yr1'!I102</f>
        <v>0.1</v>
      </c>
      <c r="J102" s="112">
        <f>'Cash Flow %s Yr1'!J102</f>
        <v>0.1</v>
      </c>
      <c r="K102" s="112">
        <f>'Cash Flow %s Yr1'!K102</f>
        <v>0.1</v>
      </c>
      <c r="L102" s="112">
        <f>'Cash Flow %s Yr1'!L102</f>
        <v>0.1</v>
      </c>
      <c r="M102" s="112">
        <f>'Cash Flow %s Yr1'!M102</f>
        <v>0.1</v>
      </c>
      <c r="N102" s="112">
        <f>'Cash Flow %s Yr1'!N102</f>
        <v>0.1</v>
      </c>
      <c r="O102" s="112">
        <f>'Cash Flow %s Yr1'!O102</f>
        <v>0.1</v>
      </c>
      <c r="P102" s="112">
        <f>'Cash Flow %s Yr1'!P102</f>
        <v>0</v>
      </c>
      <c r="Q102" s="112">
        <f>'Cash Flow %s Yr1'!Q102</f>
        <v>0</v>
      </c>
      <c r="R102" s="112">
        <f>'Cash Flow %s Yr1'!R102</f>
        <v>0</v>
      </c>
      <c r="S102" s="111">
        <f t="shared" si="8"/>
        <v>0.99999999999999989</v>
      </c>
    </row>
    <row r="103" spans="1:19" hidden="1" outlineLevel="1" x14ac:dyDescent="0.2">
      <c r="A103" s="36"/>
      <c r="B103" s="66">
        <f>'Expenses Summary'!B59</f>
        <v>0</v>
      </c>
      <c r="C103" s="66">
        <f>'Expenses Summary'!C59</f>
        <v>0</v>
      </c>
      <c r="D103" s="112">
        <f>'Cash Flow %s Yr1'!D103</f>
        <v>0</v>
      </c>
      <c r="E103" s="112">
        <f>'Cash Flow %s Yr1'!E103</f>
        <v>0</v>
      </c>
      <c r="F103" s="112">
        <f>'Cash Flow %s Yr1'!F103</f>
        <v>0.1</v>
      </c>
      <c r="G103" s="112">
        <f>'Cash Flow %s Yr1'!G103</f>
        <v>0.1</v>
      </c>
      <c r="H103" s="112">
        <f>'Cash Flow %s Yr1'!H103</f>
        <v>0.1</v>
      </c>
      <c r="I103" s="112">
        <f>'Cash Flow %s Yr1'!I103</f>
        <v>0.1</v>
      </c>
      <c r="J103" s="112">
        <f>'Cash Flow %s Yr1'!J103</f>
        <v>0.1</v>
      </c>
      <c r="K103" s="112">
        <f>'Cash Flow %s Yr1'!K103</f>
        <v>0.1</v>
      </c>
      <c r="L103" s="112">
        <f>'Cash Flow %s Yr1'!L103</f>
        <v>0.1</v>
      </c>
      <c r="M103" s="112">
        <f>'Cash Flow %s Yr1'!M103</f>
        <v>0.1</v>
      </c>
      <c r="N103" s="112">
        <f>'Cash Flow %s Yr1'!N103</f>
        <v>0.1</v>
      </c>
      <c r="O103" s="112">
        <f>'Cash Flow %s Yr1'!O103</f>
        <v>0.1</v>
      </c>
      <c r="P103" s="112">
        <f>'Cash Flow %s Yr1'!P103</f>
        <v>0</v>
      </c>
      <c r="Q103" s="112">
        <f>'Cash Flow %s Yr1'!Q103</f>
        <v>0</v>
      </c>
      <c r="R103" s="112">
        <f>'Cash Flow %s Yr1'!R103</f>
        <v>0</v>
      </c>
      <c r="S103" s="111">
        <f t="shared" si="8"/>
        <v>0.99999999999999989</v>
      </c>
    </row>
    <row r="104" spans="1:19" hidden="1" outlineLevel="1" x14ac:dyDescent="0.2">
      <c r="A104" s="36"/>
      <c r="B104" s="66">
        <f>'Expenses Summary'!B60</f>
        <v>0</v>
      </c>
      <c r="C104" s="66">
        <f>'Expenses Summary'!C60</f>
        <v>0</v>
      </c>
      <c r="D104" s="112">
        <f>'Cash Flow %s Yr1'!D104</f>
        <v>0</v>
      </c>
      <c r="E104" s="112">
        <f>'Cash Flow %s Yr1'!E104</f>
        <v>0</v>
      </c>
      <c r="F104" s="112">
        <f>'Cash Flow %s Yr1'!F104</f>
        <v>0.1</v>
      </c>
      <c r="G104" s="112">
        <f>'Cash Flow %s Yr1'!G104</f>
        <v>0.1</v>
      </c>
      <c r="H104" s="112">
        <f>'Cash Flow %s Yr1'!H104</f>
        <v>0.1</v>
      </c>
      <c r="I104" s="112">
        <f>'Cash Flow %s Yr1'!I104</f>
        <v>0.1</v>
      </c>
      <c r="J104" s="112">
        <f>'Cash Flow %s Yr1'!J104</f>
        <v>0.1</v>
      </c>
      <c r="K104" s="112">
        <f>'Cash Flow %s Yr1'!K104</f>
        <v>0.1</v>
      </c>
      <c r="L104" s="112">
        <f>'Cash Flow %s Yr1'!L104</f>
        <v>0.1</v>
      </c>
      <c r="M104" s="112">
        <f>'Cash Flow %s Yr1'!M104</f>
        <v>0.1</v>
      </c>
      <c r="N104" s="112">
        <f>'Cash Flow %s Yr1'!N104</f>
        <v>0.1</v>
      </c>
      <c r="O104" s="112">
        <f>'Cash Flow %s Yr1'!O104</f>
        <v>0.1</v>
      </c>
      <c r="P104" s="112">
        <f>'Cash Flow %s Yr1'!P104</f>
        <v>0</v>
      </c>
      <c r="Q104" s="112">
        <f>'Cash Flow %s Yr1'!Q104</f>
        <v>0</v>
      </c>
      <c r="R104" s="112">
        <f>'Cash Flow %s Yr1'!R104</f>
        <v>0</v>
      </c>
      <c r="S104" s="111">
        <f t="shared" si="8"/>
        <v>0.99999999999999989</v>
      </c>
    </row>
    <row r="105" spans="1:19" hidden="1" outlineLevel="1" x14ac:dyDescent="0.2">
      <c r="A105" s="36"/>
      <c r="B105" s="66">
        <f>'Expenses Summary'!B61</f>
        <v>0</v>
      </c>
      <c r="C105" s="66">
        <f>'Expenses Summary'!C61</f>
        <v>0</v>
      </c>
      <c r="D105" s="112">
        <f>'Cash Flow %s Yr1'!D105</f>
        <v>0</v>
      </c>
      <c r="E105" s="112">
        <f>'Cash Flow %s Yr1'!E105</f>
        <v>0</v>
      </c>
      <c r="F105" s="112">
        <f>'Cash Flow %s Yr1'!F105</f>
        <v>0.1</v>
      </c>
      <c r="G105" s="112">
        <f>'Cash Flow %s Yr1'!G105</f>
        <v>0.1</v>
      </c>
      <c r="H105" s="112">
        <f>'Cash Flow %s Yr1'!H105</f>
        <v>0.1</v>
      </c>
      <c r="I105" s="112">
        <f>'Cash Flow %s Yr1'!I105</f>
        <v>0.1</v>
      </c>
      <c r="J105" s="112">
        <f>'Cash Flow %s Yr1'!J105</f>
        <v>0.1</v>
      </c>
      <c r="K105" s="112">
        <f>'Cash Flow %s Yr1'!K105</f>
        <v>0.1</v>
      </c>
      <c r="L105" s="112">
        <f>'Cash Flow %s Yr1'!L105</f>
        <v>0.1</v>
      </c>
      <c r="M105" s="112">
        <f>'Cash Flow %s Yr1'!M105</f>
        <v>0.1</v>
      </c>
      <c r="N105" s="112">
        <f>'Cash Flow %s Yr1'!N105</f>
        <v>0.1</v>
      </c>
      <c r="O105" s="112">
        <f>'Cash Flow %s Yr1'!O105</f>
        <v>0.1</v>
      </c>
      <c r="P105" s="112">
        <f>'Cash Flow %s Yr1'!P105</f>
        <v>0</v>
      </c>
      <c r="Q105" s="112">
        <f>'Cash Flow %s Yr1'!Q105</f>
        <v>0</v>
      </c>
      <c r="R105" s="112">
        <f>'Cash Flow %s Yr1'!R105</f>
        <v>0</v>
      </c>
      <c r="S105" s="111">
        <f t="shared" si="8"/>
        <v>0.99999999999999989</v>
      </c>
    </row>
    <row r="106" spans="1:19" hidden="1" outlineLevel="1" x14ac:dyDescent="0.2">
      <c r="A106" s="36"/>
      <c r="B106" s="66">
        <f>'Expenses Summary'!B62</f>
        <v>0</v>
      </c>
      <c r="C106" s="66">
        <f>'Expenses Summary'!C62</f>
        <v>0</v>
      </c>
      <c r="D106" s="112">
        <f>'Cash Flow %s Yr1'!D106</f>
        <v>0</v>
      </c>
      <c r="E106" s="112">
        <f>'Cash Flow %s Yr1'!E106</f>
        <v>0</v>
      </c>
      <c r="F106" s="112">
        <f>'Cash Flow %s Yr1'!F106</f>
        <v>0.1</v>
      </c>
      <c r="G106" s="112">
        <f>'Cash Flow %s Yr1'!G106</f>
        <v>0.1</v>
      </c>
      <c r="H106" s="112">
        <f>'Cash Flow %s Yr1'!H106</f>
        <v>0.1</v>
      </c>
      <c r="I106" s="112">
        <f>'Cash Flow %s Yr1'!I106</f>
        <v>0.1</v>
      </c>
      <c r="J106" s="112">
        <f>'Cash Flow %s Yr1'!J106</f>
        <v>0.1</v>
      </c>
      <c r="K106" s="112">
        <f>'Cash Flow %s Yr1'!K106</f>
        <v>0.1</v>
      </c>
      <c r="L106" s="112">
        <f>'Cash Flow %s Yr1'!L106</f>
        <v>0.1</v>
      </c>
      <c r="M106" s="112">
        <f>'Cash Flow %s Yr1'!M106</f>
        <v>0.1</v>
      </c>
      <c r="N106" s="112">
        <f>'Cash Flow %s Yr1'!N106</f>
        <v>0.1</v>
      </c>
      <c r="O106" s="112">
        <f>'Cash Flow %s Yr1'!O106</f>
        <v>0.1</v>
      </c>
      <c r="P106" s="112">
        <f>'Cash Flow %s Yr1'!P106</f>
        <v>0</v>
      </c>
      <c r="Q106" s="112">
        <f>'Cash Flow %s Yr1'!Q106</f>
        <v>0</v>
      </c>
      <c r="R106" s="112">
        <f>'Cash Flow %s Yr1'!R106</f>
        <v>0</v>
      </c>
      <c r="S106" s="111">
        <f t="shared" si="8"/>
        <v>0.99999999999999989</v>
      </c>
    </row>
    <row r="107" spans="1:19" s="31" customFormat="1" collapsed="1" x14ac:dyDescent="0.2">
      <c r="A107" s="36"/>
      <c r="B107" s="66" t="str">
        <f>'Expenses Summary'!B63</f>
        <v>4700</v>
      </c>
      <c r="C107" s="66" t="str">
        <f>'Expenses Summary'!C63</f>
        <v>Food and Food Supplies</v>
      </c>
      <c r="D107" s="112">
        <f>'Cash Flow %s Yr1'!D107</f>
        <v>0</v>
      </c>
      <c r="E107" s="112">
        <f>'Cash Flow %s Yr1'!E107</f>
        <v>0</v>
      </c>
      <c r="F107" s="112">
        <f>'Cash Flow %s Yr1'!F107</f>
        <v>5.5E-2</v>
      </c>
      <c r="G107" s="112">
        <f>'Cash Flow %s Yr1'!G107</f>
        <v>0</v>
      </c>
      <c r="H107" s="112">
        <f>'Cash Flow %s Yr1'!H107</f>
        <v>0.1</v>
      </c>
      <c r="I107" s="112">
        <f>'Cash Flow %s Yr1'!I107</f>
        <v>0.1</v>
      </c>
      <c r="J107" s="112">
        <f>'Cash Flow %s Yr1'!J107</f>
        <v>0.1</v>
      </c>
      <c r="K107" s="112">
        <f>'Cash Flow %s Yr1'!K107</f>
        <v>0.1</v>
      </c>
      <c r="L107" s="112">
        <f>'Cash Flow %s Yr1'!L107</f>
        <v>0.1</v>
      </c>
      <c r="M107" s="112">
        <f>'Cash Flow %s Yr1'!M107</f>
        <v>0.1</v>
      </c>
      <c r="N107" s="112">
        <f>'Cash Flow %s Yr1'!N107</f>
        <v>0.1</v>
      </c>
      <c r="O107" s="112">
        <f>'Cash Flow %s Yr1'!O107</f>
        <v>0.1</v>
      </c>
      <c r="P107" s="112">
        <f>'Cash Flow %s Yr1'!P107</f>
        <v>0.1</v>
      </c>
      <c r="Q107" s="112">
        <f>'Cash Flow %s Yr1'!Q107</f>
        <v>4.4999999999999998E-2</v>
      </c>
      <c r="R107" s="112">
        <f>'Cash Flow %s Yr1'!R107</f>
        <v>0</v>
      </c>
      <c r="S107" s="111">
        <f>SUM(D107:R107)</f>
        <v>0.99999999999999989</v>
      </c>
    </row>
    <row r="108" spans="1:19" s="31" customFormat="1" x14ac:dyDescent="0.2">
      <c r="A108" s="36"/>
      <c r="B108" s="124"/>
      <c r="C108" s="93"/>
      <c r="D108" s="100"/>
      <c r="E108" s="100"/>
      <c r="F108" s="119"/>
      <c r="G108" s="119"/>
      <c r="H108" s="119"/>
      <c r="I108" s="119"/>
      <c r="J108" s="119"/>
      <c r="K108" s="119"/>
      <c r="L108" s="119"/>
      <c r="M108" s="119"/>
      <c r="N108" s="119"/>
      <c r="O108" s="119"/>
      <c r="P108" s="108"/>
      <c r="Q108" s="108"/>
      <c r="R108" s="108"/>
      <c r="S108" s="111"/>
    </row>
    <row r="109" spans="1:19" s="31" customFormat="1" x14ac:dyDescent="0.2">
      <c r="A109" s="36"/>
      <c r="B109" s="4"/>
      <c r="C109" s="3"/>
      <c r="D109" s="95"/>
      <c r="E109" s="95"/>
      <c r="F109" s="95"/>
      <c r="G109" s="95"/>
      <c r="H109" s="95"/>
      <c r="I109" s="95"/>
      <c r="J109" s="95"/>
      <c r="K109" s="95"/>
      <c r="L109" s="95"/>
      <c r="M109" s="95"/>
      <c r="N109" s="95"/>
      <c r="O109" s="95"/>
      <c r="P109" s="95"/>
      <c r="Q109" s="95"/>
      <c r="R109" s="95"/>
      <c r="S109" s="111"/>
    </row>
    <row r="110" spans="1:19" s="31" customFormat="1" x14ac:dyDescent="0.2">
      <c r="B110" s="5" t="s">
        <v>722</v>
      </c>
      <c r="C110" s="3"/>
      <c r="D110" s="95"/>
      <c r="E110" s="95"/>
      <c r="F110" s="95"/>
      <c r="G110" s="95"/>
      <c r="H110" s="95"/>
      <c r="I110" s="95"/>
      <c r="J110" s="95"/>
      <c r="K110" s="95"/>
      <c r="L110" s="95"/>
      <c r="M110" s="95"/>
      <c r="N110" s="95"/>
      <c r="O110" s="95"/>
      <c r="P110" s="95"/>
      <c r="Q110" s="95"/>
      <c r="R110" s="95"/>
      <c r="S110" s="111"/>
    </row>
    <row r="111" spans="1:19" s="31" customFormat="1" x14ac:dyDescent="0.2">
      <c r="A111" s="36"/>
      <c r="B111" s="66" t="str">
        <f>'Expenses Summary'!B67</f>
        <v>5200</v>
      </c>
      <c r="C111" s="66" t="str">
        <f>'Expenses Summary'!C67</f>
        <v>Travel and Conferences</v>
      </c>
      <c r="D111" s="112">
        <f>'Cash Flow %s Yr1'!D111</f>
        <v>0</v>
      </c>
      <c r="E111" s="112">
        <f>'Cash Flow %s Yr1'!E111</f>
        <v>0</v>
      </c>
      <c r="F111" s="112">
        <f>'Cash Flow %s Yr1'!F111</f>
        <v>0.3</v>
      </c>
      <c r="G111" s="112">
        <f>'Cash Flow %s Yr1'!G111</f>
        <v>0.1</v>
      </c>
      <c r="H111" s="112">
        <f>'Cash Flow %s Yr1'!H111</f>
        <v>0.1</v>
      </c>
      <c r="I111" s="112">
        <f>'Cash Flow %s Yr1'!I111</f>
        <v>0.1</v>
      </c>
      <c r="J111" s="112">
        <f>'Cash Flow %s Yr1'!J111</f>
        <v>0.1</v>
      </c>
      <c r="K111" s="112">
        <f>'Cash Flow %s Yr1'!K111</f>
        <v>0.1</v>
      </c>
      <c r="L111" s="112">
        <f>'Cash Flow %s Yr1'!L111</f>
        <v>0.1</v>
      </c>
      <c r="M111" s="112">
        <f>'Cash Flow %s Yr1'!M111</f>
        <v>0.1</v>
      </c>
      <c r="N111" s="112">
        <f>'Cash Flow %s Yr1'!N111</f>
        <v>0</v>
      </c>
      <c r="O111" s="112">
        <f>'Cash Flow %s Yr1'!O111</f>
        <v>0</v>
      </c>
      <c r="P111" s="112">
        <f>'Cash Flow %s Yr1'!P111</f>
        <v>0</v>
      </c>
      <c r="Q111" s="112">
        <f>'Cash Flow %s Yr1'!Q111</f>
        <v>0</v>
      </c>
      <c r="R111" s="112">
        <f>'Cash Flow %s Yr1'!R111</f>
        <v>0</v>
      </c>
      <c r="S111" s="111">
        <f t="shared" ref="S111:S141" si="9">SUM(D111:R111)</f>
        <v>0.99999999999999989</v>
      </c>
    </row>
    <row r="112" spans="1:19" s="31" customFormat="1" x14ac:dyDescent="0.2">
      <c r="A112" s="36"/>
      <c r="B112" s="66" t="str">
        <f>'Expenses Summary'!B68</f>
        <v>5210</v>
      </c>
      <c r="C112" s="66" t="str">
        <f>'Expenses Summary'!C68</f>
        <v>Training and Development Expense</v>
      </c>
      <c r="D112" s="112">
        <f>'Cash Flow %s Yr1'!D112</f>
        <v>0</v>
      </c>
      <c r="E112" s="112">
        <f>'Cash Flow %s Yr1'!E112</f>
        <v>0</v>
      </c>
      <c r="F112" s="112">
        <f>'Cash Flow %s Yr1'!F112</f>
        <v>0.9</v>
      </c>
      <c r="G112" s="112">
        <f>'Cash Flow %s Yr1'!G112</f>
        <v>0</v>
      </c>
      <c r="H112" s="112">
        <f>'Cash Flow %s Yr1'!H112</f>
        <v>0</v>
      </c>
      <c r="I112" s="112">
        <f>'Cash Flow %s Yr1'!I112</f>
        <v>0</v>
      </c>
      <c r="J112" s="112">
        <f>'Cash Flow %s Yr1'!J112</f>
        <v>0</v>
      </c>
      <c r="K112" s="112">
        <f>'Cash Flow %s Yr1'!K112</f>
        <v>0</v>
      </c>
      <c r="L112" s="112">
        <f>'Cash Flow %s Yr1'!L112</f>
        <v>0.1</v>
      </c>
      <c r="M112" s="112">
        <f>'Cash Flow %s Yr1'!M112</f>
        <v>0</v>
      </c>
      <c r="N112" s="112">
        <f>'Cash Flow %s Yr1'!N112</f>
        <v>0</v>
      </c>
      <c r="O112" s="112">
        <f>'Cash Flow %s Yr1'!O112</f>
        <v>0</v>
      </c>
      <c r="P112" s="112">
        <f>'Cash Flow %s Yr1'!P112</f>
        <v>0</v>
      </c>
      <c r="Q112" s="112">
        <f>'Cash Flow %s Yr1'!Q112</f>
        <v>0</v>
      </c>
      <c r="R112" s="112">
        <f>'Cash Flow %s Yr1'!R112</f>
        <v>0</v>
      </c>
      <c r="S112" s="111">
        <f t="shared" si="9"/>
        <v>1</v>
      </c>
    </row>
    <row r="113" spans="1:19" s="31" customFormat="1" x14ac:dyDescent="0.2">
      <c r="A113" s="36"/>
      <c r="B113" s="66" t="str">
        <f>'Expenses Summary'!B69</f>
        <v>5300</v>
      </c>
      <c r="C113" s="66" t="str">
        <f>'Expenses Summary'!C69</f>
        <v>Dues and Memberships</v>
      </c>
      <c r="D113" s="112">
        <f>'Cash Flow %s Yr1'!D113</f>
        <v>0</v>
      </c>
      <c r="E113" s="112">
        <f>'Cash Flow %s Yr1'!E113</f>
        <v>0</v>
      </c>
      <c r="F113" s="112">
        <f>'Cash Flow %s Yr1'!F113</f>
        <v>0.3</v>
      </c>
      <c r="G113" s="112">
        <f>'Cash Flow %s Yr1'!G113</f>
        <v>0.1</v>
      </c>
      <c r="H113" s="112">
        <f>'Cash Flow %s Yr1'!H113</f>
        <v>0.1</v>
      </c>
      <c r="I113" s="112">
        <f>'Cash Flow %s Yr1'!I113</f>
        <v>0.1</v>
      </c>
      <c r="J113" s="112">
        <f>'Cash Flow %s Yr1'!J113</f>
        <v>0.1</v>
      </c>
      <c r="K113" s="112">
        <f>'Cash Flow %s Yr1'!K113</f>
        <v>0.1</v>
      </c>
      <c r="L113" s="112">
        <f>'Cash Flow %s Yr1'!L113</f>
        <v>0.1</v>
      </c>
      <c r="M113" s="112">
        <f>'Cash Flow %s Yr1'!M113</f>
        <v>0.1</v>
      </c>
      <c r="N113" s="112">
        <f>'Cash Flow %s Yr1'!N113</f>
        <v>0</v>
      </c>
      <c r="O113" s="112">
        <f>'Cash Flow %s Yr1'!O113</f>
        <v>0</v>
      </c>
      <c r="P113" s="112">
        <f>'Cash Flow %s Yr1'!P113</f>
        <v>0</v>
      </c>
      <c r="Q113" s="112">
        <f>'Cash Flow %s Yr1'!Q113</f>
        <v>0</v>
      </c>
      <c r="R113" s="112">
        <f>'Cash Flow %s Yr1'!R113</f>
        <v>0</v>
      </c>
      <c r="S113" s="111">
        <f t="shared" si="9"/>
        <v>0.99999999999999989</v>
      </c>
    </row>
    <row r="114" spans="1:19" s="31" customFormat="1" x14ac:dyDescent="0.2">
      <c r="A114" s="36"/>
      <c r="B114" s="66" t="str">
        <f>'Expenses Summary'!B70</f>
        <v>5400</v>
      </c>
      <c r="C114" s="66" t="str">
        <f>'Expenses Summary'!C70</f>
        <v>Insurance</v>
      </c>
      <c r="D114" s="112">
        <f>'Cash Flow %s Yr1'!D114</f>
        <v>0</v>
      </c>
      <c r="E114" s="112">
        <f>'Cash Flow %s Yr1'!E114</f>
        <v>0</v>
      </c>
      <c r="F114" s="112">
        <f>'Cash Flow %s Yr1'!F114</f>
        <v>0.3</v>
      </c>
      <c r="G114" s="112">
        <f>'Cash Flow %s Yr1'!G114</f>
        <v>0.1</v>
      </c>
      <c r="H114" s="112">
        <f>'Cash Flow %s Yr1'!H114</f>
        <v>0.1</v>
      </c>
      <c r="I114" s="112">
        <f>'Cash Flow %s Yr1'!I114</f>
        <v>0.1</v>
      </c>
      <c r="J114" s="112">
        <f>'Cash Flow %s Yr1'!J114</f>
        <v>0.1</v>
      </c>
      <c r="K114" s="112">
        <f>'Cash Flow %s Yr1'!K114</f>
        <v>0.1</v>
      </c>
      <c r="L114" s="112">
        <f>'Cash Flow %s Yr1'!L114</f>
        <v>0.1</v>
      </c>
      <c r="M114" s="112">
        <f>'Cash Flow %s Yr1'!M114</f>
        <v>0.1</v>
      </c>
      <c r="N114" s="112">
        <f>'Cash Flow %s Yr1'!N114</f>
        <v>0</v>
      </c>
      <c r="O114" s="112">
        <f>'Cash Flow %s Yr1'!O114</f>
        <v>0</v>
      </c>
      <c r="P114" s="112">
        <f>'Cash Flow %s Yr1'!P114</f>
        <v>0</v>
      </c>
      <c r="Q114" s="112">
        <f>'Cash Flow %s Yr1'!Q114</f>
        <v>0</v>
      </c>
      <c r="R114" s="112">
        <f>'Cash Flow %s Yr1'!R114</f>
        <v>0</v>
      </c>
      <c r="S114" s="111">
        <f t="shared" si="9"/>
        <v>0.99999999999999989</v>
      </c>
    </row>
    <row r="115" spans="1:19" s="31" customFormat="1" x14ac:dyDescent="0.2">
      <c r="A115" s="36"/>
      <c r="B115" s="66" t="e">
        <f>'Expenses Summary'!#REF!</f>
        <v>#REF!</v>
      </c>
      <c r="C115" s="66" t="e">
        <f>'Expenses Summary'!#REF!</f>
        <v>#REF!</v>
      </c>
      <c r="D115" s="112">
        <f>'Cash Flow %s Yr1'!D115</f>
        <v>0</v>
      </c>
      <c r="E115" s="112">
        <f>'Cash Flow %s Yr1'!E115</f>
        <v>0</v>
      </c>
      <c r="F115" s="112">
        <f>'Cash Flow %s Yr1'!F115</f>
        <v>0.6</v>
      </c>
      <c r="G115" s="112">
        <f>'Cash Flow %s Yr1'!G115</f>
        <v>0</v>
      </c>
      <c r="H115" s="112">
        <f>'Cash Flow %s Yr1'!H115</f>
        <v>0</v>
      </c>
      <c r="I115" s="112">
        <f>'Cash Flow %s Yr1'!I115</f>
        <v>0</v>
      </c>
      <c r="J115" s="112">
        <f>'Cash Flow %s Yr1'!J115</f>
        <v>0.4</v>
      </c>
      <c r="K115" s="112">
        <f>'Cash Flow %s Yr1'!K115</f>
        <v>0</v>
      </c>
      <c r="L115" s="112">
        <f>'Cash Flow %s Yr1'!L115</f>
        <v>0</v>
      </c>
      <c r="M115" s="112">
        <f>'Cash Flow %s Yr1'!M115</f>
        <v>0</v>
      </c>
      <c r="N115" s="112">
        <f>'Cash Flow %s Yr1'!N115</f>
        <v>0</v>
      </c>
      <c r="O115" s="112">
        <f>'Cash Flow %s Yr1'!O115</f>
        <v>0</v>
      </c>
      <c r="P115" s="112">
        <f>'Cash Flow %s Yr1'!P115</f>
        <v>0</v>
      </c>
      <c r="Q115" s="112">
        <f>'Cash Flow %s Yr1'!Q115</f>
        <v>0</v>
      </c>
      <c r="R115" s="112">
        <f>'Cash Flow %s Yr1'!R115</f>
        <v>0</v>
      </c>
      <c r="S115" s="111">
        <f t="shared" si="9"/>
        <v>1</v>
      </c>
    </row>
    <row r="116" spans="1:19" s="31" customFormat="1" x14ac:dyDescent="0.2">
      <c r="A116" s="36"/>
      <c r="B116" s="66" t="str">
        <f>'Expenses Summary'!B71</f>
        <v>5500</v>
      </c>
      <c r="C116" s="66" t="str">
        <f>'Expenses Summary'!C71</f>
        <v>Operation and Housekeeping Services/Supplies</v>
      </c>
      <c r="D116" s="112">
        <f>'Cash Flow %s Yr1'!D116</f>
        <v>8.3000000000000004E-2</v>
      </c>
      <c r="E116" s="112">
        <f>'Cash Flow %s Yr1'!E116</f>
        <v>8.3000000000000004E-2</v>
      </c>
      <c r="F116" s="112">
        <f>'Cash Flow %s Yr1'!F116</f>
        <v>8.3000000000000004E-2</v>
      </c>
      <c r="G116" s="112">
        <f>'Cash Flow %s Yr1'!G116</f>
        <v>8.3000000000000004E-2</v>
      </c>
      <c r="H116" s="112">
        <f>'Cash Flow %s Yr1'!H116</f>
        <v>8.3000000000000004E-2</v>
      </c>
      <c r="I116" s="112">
        <f>'Cash Flow %s Yr1'!I116</f>
        <v>8.3000000000000004E-2</v>
      </c>
      <c r="J116" s="112">
        <f>'Cash Flow %s Yr1'!J116</f>
        <v>8.3000000000000004E-2</v>
      </c>
      <c r="K116" s="112">
        <f>'Cash Flow %s Yr1'!K116</f>
        <v>8.3000000000000004E-2</v>
      </c>
      <c r="L116" s="112">
        <f>'Cash Flow %s Yr1'!L116</f>
        <v>8.4000000000000005E-2</v>
      </c>
      <c r="M116" s="112">
        <f>'Cash Flow %s Yr1'!M116</f>
        <v>8.4000000000000005E-2</v>
      </c>
      <c r="N116" s="112">
        <f>'Cash Flow %s Yr1'!N116</f>
        <v>8.4000000000000005E-2</v>
      </c>
      <c r="O116" s="112">
        <f>'Cash Flow %s Yr1'!O116</f>
        <v>8.4000000000000005E-2</v>
      </c>
      <c r="P116" s="112">
        <f>'Cash Flow %s Yr1'!P116</f>
        <v>0</v>
      </c>
      <c r="Q116" s="112">
        <f>'Cash Flow %s Yr1'!Q116</f>
        <v>0</v>
      </c>
      <c r="R116" s="112">
        <f>'Cash Flow %s Yr1'!R116</f>
        <v>0</v>
      </c>
      <c r="S116" s="111">
        <f t="shared" si="9"/>
        <v>0.99999999999999989</v>
      </c>
    </row>
    <row r="117" spans="1:19" s="31" customFormat="1" x14ac:dyDescent="0.2">
      <c r="A117" s="36"/>
      <c r="B117" s="66" t="str">
        <f>'Expenses Summary'!B72</f>
        <v>5501</v>
      </c>
      <c r="C117" s="66" t="str">
        <f>'Expenses Summary'!C72</f>
        <v>Utilities</v>
      </c>
      <c r="D117" s="112">
        <f>'Cash Flow %s Yr1'!D117</f>
        <v>0</v>
      </c>
      <c r="E117" s="112">
        <f>'Cash Flow %s Yr1'!E117</f>
        <v>0</v>
      </c>
      <c r="F117" s="112">
        <f>'Cash Flow %s Yr1'!F117</f>
        <v>0.1</v>
      </c>
      <c r="G117" s="112">
        <f>'Cash Flow %s Yr1'!G117</f>
        <v>0.1</v>
      </c>
      <c r="H117" s="112">
        <f>'Cash Flow %s Yr1'!H117</f>
        <v>0.1</v>
      </c>
      <c r="I117" s="112">
        <f>'Cash Flow %s Yr1'!I117</f>
        <v>0.1</v>
      </c>
      <c r="J117" s="112">
        <f>'Cash Flow %s Yr1'!J117</f>
        <v>0.1</v>
      </c>
      <c r="K117" s="112">
        <f>'Cash Flow %s Yr1'!K117</f>
        <v>0.1</v>
      </c>
      <c r="L117" s="112">
        <f>'Cash Flow %s Yr1'!L117</f>
        <v>0.1</v>
      </c>
      <c r="M117" s="112">
        <f>'Cash Flow %s Yr1'!M117</f>
        <v>0.1</v>
      </c>
      <c r="N117" s="112">
        <f>'Cash Flow %s Yr1'!N117</f>
        <v>0.1</v>
      </c>
      <c r="O117" s="112">
        <f>'Cash Flow %s Yr1'!O117</f>
        <v>0.1</v>
      </c>
      <c r="P117" s="112">
        <f>'Cash Flow %s Yr1'!P117</f>
        <v>0</v>
      </c>
      <c r="Q117" s="112">
        <f>'Cash Flow %s Yr1'!Q117</f>
        <v>0</v>
      </c>
      <c r="R117" s="112">
        <f>'Cash Flow %s Yr1'!R117</f>
        <v>0</v>
      </c>
      <c r="S117" s="111">
        <f t="shared" si="9"/>
        <v>0.99999999999999989</v>
      </c>
    </row>
    <row r="118" spans="1:19" s="31" customFormat="1" x14ac:dyDescent="0.2">
      <c r="A118" s="36"/>
      <c r="B118" s="66" t="str">
        <f>'Expenses Summary'!B73</f>
        <v>5505</v>
      </c>
      <c r="C118" s="66" t="str">
        <f>'Expenses Summary'!C73</f>
        <v>Student Transportation / Field Trips</v>
      </c>
      <c r="D118" s="112">
        <f>'Cash Flow %s Yr1'!D118</f>
        <v>8.3000000000000004E-2</v>
      </c>
      <c r="E118" s="112">
        <f>'Cash Flow %s Yr1'!E118</f>
        <v>0.16700000000000001</v>
      </c>
      <c r="F118" s="112">
        <f>'Cash Flow %s Yr1'!F118</f>
        <v>8.3000000000000004E-2</v>
      </c>
      <c r="G118" s="112">
        <f>'Cash Flow %s Yr1'!G118</f>
        <v>8.3000000000000004E-2</v>
      </c>
      <c r="H118" s="112">
        <f>'Cash Flow %s Yr1'!H118</f>
        <v>8.3000000000000004E-2</v>
      </c>
      <c r="I118" s="112">
        <f>'Cash Flow %s Yr1'!I118</f>
        <v>8.3000000000000004E-2</v>
      </c>
      <c r="J118" s="112">
        <f>'Cash Flow %s Yr1'!J118</f>
        <v>8.3000000000000004E-2</v>
      </c>
      <c r="K118" s="112">
        <f>'Cash Flow %s Yr1'!K118</f>
        <v>8.3000000000000004E-2</v>
      </c>
      <c r="L118" s="112">
        <f>'Cash Flow %s Yr1'!L118</f>
        <v>8.4000000000000005E-2</v>
      </c>
      <c r="M118" s="112">
        <f>'Cash Flow %s Yr1'!M118</f>
        <v>8.4000000000000005E-2</v>
      </c>
      <c r="N118" s="112">
        <f>'Cash Flow %s Yr1'!N118</f>
        <v>8.4000000000000005E-2</v>
      </c>
      <c r="O118" s="112">
        <f>'Cash Flow %s Yr1'!O118</f>
        <v>0</v>
      </c>
      <c r="P118" s="112">
        <f>'Cash Flow %s Yr1'!P118</f>
        <v>0</v>
      </c>
      <c r="Q118" s="112">
        <f>'Cash Flow %s Yr1'!Q118</f>
        <v>0</v>
      </c>
      <c r="R118" s="112">
        <f>'Cash Flow %s Yr1'!R118</f>
        <v>0</v>
      </c>
      <c r="S118" s="111">
        <f t="shared" si="9"/>
        <v>0.99999999999999989</v>
      </c>
    </row>
    <row r="119" spans="1:19" s="31" customFormat="1" x14ac:dyDescent="0.2">
      <c r="A119" s="36"/>
      <c r="B119" s="66" t="str">
        <f>'Expenses Summary'!B74</f>
        <v>5600</v>
      </c>
      <c r="C119" s="66" t="str">
        <f>'Expenses Summary'!C74</f>
        <v>Space Rental/Leases Expense</v>
      </c>
      <c r="D119" s="112">
        <f>'Cash Flow %s Yr1'!D119</f>
        <v>0.05</v>
      </c>
      <c r="E119" s="112">
        <f>'Cash Flow %s Yr1'!E119</f>
        <v>0.05</v>
      </c>
      <c r="F119" s="112">
        <f>'Cash Flow %s Yr1'!F119</f>
        <v>0.09</v>
      </c>
      <c r="G119" s="112">
        <f>'Cash Flow %s Yr1'!G119</f>
        <v>0.09</v>
      </c>
      <c r="H119" s="112">
        <f>'Cash Flow %s Yr1'!H119</f>
        <v>0.09</v>
      </c>
      <c r="I119" s="112">
        <f>'Cash Flow %s Yr1'!I119</f>
        <v>0.09</v>
      </c>
      <c r="J119" s="112">
        <f>'Cash Flow %s Yr1'!J119</f>
        <v>0.09</v>
      </c>
      <c r="K119" s="112">
        <f>'Cash Flow %s Yr1'!K119</f>
        <v>0.09</v>
      </c>
      <c r="L119" s="112">
        <f>'Cash Flow %s Yr1'!L119</f>
        <v>0.09</v>
      </c>
      <c r="M119" s="112">
        <f>'Cash Flow %s Yr1'!M119</f>
        <v>0.09</v>
      </c>
      <c r="N119" s="112">
        <f>'Cash Flow %s Yr1'!N119</f>
        <v>0.09</v>
      </c>
      <c r="O119" s="112">
        <f>'Cash Flow %s Yr1'!O119</f>
        <v>0.09</v>
      </c>
      <c r="P119" s="112">
        <f>'Cash Flow %s Yr1'!P119</f>
        <v>0</v>
      </c>
      <c r="Q119" s="112">
        <f>'Cash Flow %s Yr1'!Q119</f>
        <v>0</v>
      </c>
      <c r="R119" s="112">
        <f>'Cash Flow %s Yr1'!R119</f>
        <v>0</v>
      </c>
      <c r="S119" s="111">
        <f t="shared" si="9"/>
        <v>0.99999999999999978</v>
      </c>
    </row>
    <row r="120" spans="1:19" s="31" customFormat="1" x14ac:dyDescent="0.2">
      <c r="A120" s="36"/>
      <c r="B120" s="66" t="str">
        <f>'Expenses Summary'!B75</f>
        <v>5601</v>
      </c>
      <c r="C120" s="66" t="str">
        <f>'Expenses Summary'!C75</f>
        <v>Building Maintenance</v>
      </c>
      <c r="D120" s="112">
        <f>'Cash Flow %s Yr1'!D120</f>
        <v>8.3000000000000004E-2</v>
      </c>
      <c r="E120" s="112">
        <f>'Cash Flow %s Yr1'!E120</f>
        <v>8.3000000000000004E-2</v>
      </c>
      <c r="F120" s="112">
        <f>'Cash Flow %s Yr1'!F120</f>
        <v>8.3000000000000004E-2</v>
      </c>
      <c r="G120" s="112">
        <f>'Cash Flow %s Yr1'!G120</f>
        <v>8.3000000000000004E-2</v>
      </c>
      <c r="H120" s="112">
        <f>'Cash Flow %s Yr1'!H120</f>
        <v>8.3000000000000004E-2</v>
      </c>
      <c r="I120" s="112">
        <f>'Cash Flow %s Yr1'!I120</f>
        <v>8.3000000000000004E-2</v>
      </c>
      <c r="J120" s="112">
        <f>'Cash Flow %s Yr1'!J120</f>
        <v>8.3000000000000004E-2</v>
      </c>
      <c r="K120" s="112">
        <f>'Cash Flow %s Yr1'!K120</f>
        <v>8.3000000000000004E-2</v>
      </c>
      <c r="L120" s="112">
        <f>'Cash Flow %s Yr1'!L120</f>
        <v>8.4000000000000005E-2</v>
      </c>
      <c r="M120" s="112">
        <f>'Cash Flow %s Yr1'!M120</f>
        <v>8.4000000000000005E-2</v>
      </c>
      <c r="N120" s="112">
        <f>'Cash Flow %s Yr1'!N120</f>
        <v>8.4000000000000005E-2</v>
      </c>
      <c r="O120" s="112">
        <f>'Cash Flow %s Yr1'!O120</f>
        <v>8.4000000000000005E-2</v>
      </c>
      <c r="P120" s="112">
        <f>'Cash Flow %s Yr1'!P120</f>
        <v>0</v>
      </c>
      <c r="Q120" s="112">
        <f>'Cash Flow %s Yr1'!Q120</f>
        <v>0</v>
      </c>
      <c r="R120" s="112">
        <f>'Cash Flow %s Yr1'!R120</f>
        <v>0</v>
      </c>
      <c r="S120" s="111">
        <f t="shared" si="9"/>
        <v>0.99999999999999989</v>
      </c>
    </row>
    <row r="121" spans="1:19" s="31" customFormat="1" x14ac:dyDescent="0.2">
      <c r="A121" s="36"/>
      <c r="B121" s="66" t="str">
        <f>'Expenses Summary'!B76</f>
        <v>5602</v>
      </c>
      <c r="C121" s="66" t="str">
        <f>'Expenses Summary'!C76</f>
        <v>Other Space Rental</v>
      </c>
      <c r="D121" s="112">
        <f>'Cash Flow %s Yr1'!D121</f>
        <v>8.3000000000000004E-2</v>
      </c>
      <c r="E121" s="112">
        <f>'Cash Flow %s Yr1'!E121</f>
        <v>8.3000000000000004E-2</v>
      </c>
      <c r="F121" s="112">
        <f>'Cash Flow %s Yr1'!F121</f>
        <v>8.3000000000000004E-2</v>
      </c>
      <c r="G121" s="112">
        <f>'Cash Flow %s Yr1'!G121</f>
        <v>8.3000000000000004E-2</v>
      </c>
      <c r="H121" s="112">
        <f>'Cash Flow %s Yr1'!H121</f>
        <v>8.3000000000000004E-2</v>
      </c>
      <c r="I121" s="112">
        <f>'Cash Flow %s Yr1'!I121</f>
        <v>8.3000000000000004E-2</v>
      </c>
      <c r="J121" s="112">
        <f>'Cash Flow %s Yr1'!J121</f>
        <v>8.3000000000000004E-2</v>
      </c>
      <c r="K121" s="112">
        <f>'Cash Flow %s Yr1'!K121</f>
        <v>8.3000000000000004E-2</v>
      </c>
      <c r="L121" s="112">
        <f>'Cash Flow %s Yr1'!L121</f>
        <v>8.4000000000000005E-2</v>
      </c>
      <c r="M121" s="112">
        <f>'Cash Flow %s Yr1'!M121</f>
        <v>8.4000000000000005E-2</v>
      </c>
      <c r="N121" s="112">
        <f>'Cash Flow %s Yr1'!N121</f>
        <v>8.4000000000000005E-2</v>
      </c>
      <c r="O121" s="112">
        <f>'Cash Flow %s Yr1'!O121</f>
        <v>8.4000000000000005E-2</v>
      </c>
      <c r="P121" s="112">
        <f>'Cash Flow %s Yr1'!P121</f>
        <v>0</v>
      </c>
      <c r="Q121" s="112">
        <f>'Cash Flow %s Yr1'!Q121</f>
        <v>0</v>
      </c>
      <c r="R121" s="112">
        <f>'Cash Flow %s Yr1'!R121</f>
        <v>0</v>
      </c>
      <c r="S121" s="111">
        <f t="shared" si="9"/>
        <v>0.99999999999999989</v>
      </c>
    </row>
    <row r="122" spans="1:19" s="31" customFormat="1" x14ac:dyDescent="0.2">
      <c r="A122" s="36"/>
      <c r="B122" s="66" t="str">
        <f>'Expenses Summary'!B77</f>
        <v>5605</v>
      </c>
      <c r="C122" s="66" t="str">
        <f>'Expenses Summary'!C77</f>
        <v>Equipment Rental/Lease Expense</v>
      </c>
      <c r="D122" s="112">
        <f>'Cash Flow %s Yr1'!D122</f>
        <v>0</v>
      </c>
      <c r="E122" s="112">
        <f>'Cash Flow %s Yr1'!E122</f>
        <v>0</v>
      </c>
      <c r="F122" s="112">
        <f>'Cash Flow %s Yr1'!F122</f>
        <v>0.1</v>
      </c>
      <c r="G122" s="112">
        <f>'Cash Flow %s Yr1'!G122</f>
        <v>0.1</v>
      </c>
      <c r="H122" s="112">
        <f>'Cash Flow %s Yr1'!H122</f>
        <v>0.1</v>
      </c>
      <c r="I122" s="112">
        <f>'Cash Flow %s Yr1'!I122</f>
        <v>0.1</v>
      </c>
      <c r="J122" s="112">
        <f>'Cash Flow %s Yr1'!J122</f>
        <v>0.1</v>
      </c>
      <c r="K122" s="112">
        <f>'Cash Flow %s Yr1'!K122</f>
        <v>0.1</v>
      </c>
      <c r="L122" s="112">
        <f>'Cash Flow %s Yr1'!L122</f>
        <v>0.1</v>
      </c>
      <c r="M122" s="112">
        <f>'Cash Flow %s Yr1'!M122</f>
        <v>0.1</v>
      </c>
      <c r="N122" s="112">
        <f>'Cash Flow %s Yr1'!N122</f>
        <v>0.1</v>
      </c>
      <c r="O122" s="112">
        <f>'Cash Flow %s Yr1'!O122</f>
        <v>0.1</v>
      </c>
      <c r="P122" s="112">
        <f>'Cash Flow %s Yr1'!P122</f>
        <v>0</v>
      </c>
      <c r="Q122" s="112">
        <f>'Cash Flow %s Yr1'!Q122</f>
        <v>0</v>
      </c>
      <c r="R122" s="112">
        <f>'Cash Flow %s Yr1'!R122</f>
        <v>0</v>
      </c>
      <c r="S122" s="111">
        <f t="shared" si="9"/>
        <v>0.99999999999999989</v>
      </c>
    </row>
    <row r="123" spans="1:19" s="31" customFormat="1" x14ac:dyDescent="0.2">
      <c r="A123" s="36"/>
      <c r="B123" s="66" t="str">
        <f>'Expenses Summary'!B78</f>
        <v>5610</v>
      </c>
      <c r="C123" s="66" t="str">
        <f>'Expenses Summary'!C78</f>
        <v>Equipment Repair</v>
      </c>
      <c r="D123" s="112">
        <f>'Cash Flow %s Yr1'!D123</f>
        <v>8.3000000000000004E-2</v>
      </c>
      <c r="E123" s="112">
        <f>'Cash Flow %s Yr1'!E123</f>
        <v>8.3000000000000004E-2</v>
      </c>
      <c r="F123" s="112">
        <f>'Cash Flow %s Yr1'!F123</f>
        <v>8.3000000000000004E-2</v>
      </c>
      <c r="G123" s="112">
        <f>'Cash Flow %s Yr1'!G123</f>
        <v>8.3000000000000004E-2</v>
      </c>
      <c r="H123" s="112">
        <f>'Cash Flow %s Yr1'!H123</f>
        <v>8.3000000000000004E-2</v>
      </c>
      <c r="I123" s="112">
        <f>'Cash Flow %s Yr1'!I123</f>
        <v>8.3000000000000004E-2</v>
      </c>
      <c r="J123" s="112">
        <f>'Cash Flow %s Yr1'!J123</f>
        <v>8.3000000000000004E-2</v>
      </c>
      <c r="K123" s="112">
        <f>'Cash Flow %s Yr1'!K123</f>
        <v>8.3000000000000004E-2</v>
      </c>
      <c r="L123" s="112">
        <f>'Cash Flow %s Yr1'!L123</f>
        <v>8.4000000000000005E-2</v>
      </c>
      <c r="M123" s="112">
        <f>'Cash Flow %s Yr1'!M123</f>
        <v>8.4000000000000005E-2</v>
      </c>
      <c r="N123" s="112">
        <f>'Cash Flow %s Yr1'!N123</f>
        <v>8.4000000000000005E-2</v>
      </c>
      <c r="O123" s="112">
        <f>'Cash Flow %s Yr1'!O123</f>
        <v>8.4000000000000005E-2</v>
      </c>
      <c r="P123" s="112">
        <f>'Cash Flow %s Yr1'!P123</f>
        <v>0</v>
      </c>
      <c r="Q123" s="112">
        <f>'Cash Flow %s Yr1'!Q123</f>
        <v>0</v>
      </c>
      <c r="R123" s="112">
        <f>'Cash Flow %s Yr1'!R123</f>
        <v>0</v>
      </c>
      <c r="S123" s="111">
        <f t="shared" si="9"/>
        <v>0.99999999999999989</v>
      </c>
    </row>
    <row r="124" spans="1:19" s="31" customFormat="1" x14ac:dyDescent="0.2">
      <c r="A124" s="36"/>
      <c r="B124" s="66" t="str">
        <f>'Expenses Summary'!B79</f>
        <v>5800</v>
      </c>
      <c r="C124" s="66" t="str">
        <f>'Expenses Summary'!C79</f>
        <v>Professional/Consulting Services and Operating Expenditures</v>
      </c>
      <c r="D124" s="112">
        <f>'Cash Flow %s Yr1'!D124</f>
        <v>0.05</v>
      </c>
      <c r="E124" s="112">
        <f>'Cash Flow %s Yr1'!E124</f>
        <v>0.05</v>
      </c>
      <c r="F124" s="112">
        <f>'Cash Flow %s Yr1'!F124</f>
        <v>0.09</v>
      </c>
      <c r="G124" s="112">
        <f>'Cash Flow %s Yr1'!G124</f>
        <v>0.09</v>
      </c>
      <c r="H124" s="112">
        <f>'Cash Flow %s Yr1'!H124</f>
        <v>0.09</v>
      </c>
      <c r="I124" s="112">
        <f>'Cash Flow %s Yr1'!I124</f>
        <v>0.09</v>
      </c>
      <c r="J124" s="112">
        <f>'Cash Flow %s Yr1'!J124</f>
        <v>0.09</v>
      </c>
      <c r="K124" s="112">
        <f>'Cash Flow %s Yr1'!K124</f>
        <v>0.09</v>
      </c>
      <c r="L124" s="112">
        <f>'Cash Flow %s Yr1'!L124</f>
        <v>0.09</v>
      </c>
      <c r="M124" s="112">
        <f>'Cash Flow %s Yr1'!M124</f>
        <v>0.09</v>
      </c>
      <c r="N124" s="112">
        <f>'Cash Flow %s Yr1'!N124</f>
        <v>0.09</v>
      </c>
      <c r="O124" s="112">
        <f>'Cash Flow %s Yr1'!O124</f>
        <v>0.09</v>
      </c>
      <c r="P124" s="112">
        <f>'Cash Flow %s Yr1'!P124</f>
        <v>0</v>
      </c>
      <c r="Q124" s="112">
        <f>'Cash Flow %s Yr1'!Q124</f>
        <v>0</v>
      </c>
      <c r="R124" s="112">
        <f>'Cash Flow %s Yr1'!R124</f>
        <v>0</v>
      </c>
      <c r="S124" s="111">
        <f t="shared" si="9"/>
        <v>0.99999999999999978</v>
      </c>
    </row>
    <row r="125" spans="1:19" s="31" customFormat="1" x14ac:dyDescent="0.2">
      <c r="A125" s="36"/>
      <c r="B125" s="66" t="str">
        <f>'Expenses Summary'!B80</f>
        <v>5803</v>
      </c>
      <c r="C125" s="66" t="str">
        <f>'Expenses Summary'!C80</f>
        <v>Banking and Payroll Service Fees</v>
      </c>
      <c r="D125" s="112">
        <f>'Cash Flow %s Yr1'!D125</f>
        <v>0.05</v>
      </c>
      <c r="E125" s="112">
        <f>'Cash Flow %s Yr1'!E125</f>
        <v>0.05</v>
      </c>
      <c r="F125" s="112">
        <f>'Cash Flow %s Yr1'!F125</f>
        <v>0.09</v>
      </c>
      <c r="G125" s="112">
        <f>'Cash Flow %s Yr1'!G125</f>
        <v>0.09</v>
      </c>
      <c r="H125" s="112">
        <f>'Cash Flow %s Yr1'!H125</f>
        <v>0.09</v>
      </c>
      <c r="I125" s="112">
        <f>'Cash Flow %s Yr1'!I125</f>
        <v>0.09</v>
      </c>
      <c r="J125" s="112">
        <f>'Cash Flow %s Yr1'!J125</f>
        <v>0.09</v>
      </c>
      <c r="K125" s="112">
        <f>'Cash Flow %s Yr1'!K125</f>
        <v>0.09</v>
      </c>
      <c r="L125" s="112">
        <f>'Cash Flow %s Yr1'!L125</f>
        <v>0.09</v>
      </c>
      <c r="M125" s="112">
        <f>'Cash Flow %s Yr1'!M125</f>
        <v>0.09</v>
      </c>
      <c r="N125" s="112">
        <f>'Cash Flow %s Yr1'!N125</f>
        <v>0.09</v>
      </c>
      <c r="O125" s="112">
        <f>'Cash Flow %s Yr1'!O125</f>
        <v>0.09</v>
      </c>
      <c r="P125" s="112">
        <f>'Cash Flow %s Yr1'!P125</f>
        <v>0</v>
      </c>
      <c r="Q125" s="112">
        <f>'Cash Flow %s Yr1'!Q125</f>
        <v>0</v>
      </c>
      <c r="R125" s="112">
        <f>'Cash Flow %s Yr1'!R125</f>
        <v>0</v>
      </c>
      <c r="S125" s="111">
        <f t="shared" si="9"/>
        <v>0.99999999999999978</v>
      </c>
    </row>
    <row r="126" spans="1:19" s="31" customFormat="1" x14ac:dyDescent="0.2">
      <c r="A126" s="36"/>
      <c r="B126" s="66" t="str">
        <f>'Expenses Summary'!B81</f>
        <v>5805</v>
      </c>
      <c r="C126" s="66" t="str">
        <f>'Expenses Summary'!C81</f>
        <v>Legal Services and Audit</v>
      </c>
      <c r="D126" s="112">
        <f>'Cash Flow %s Yr1'!D126</f>
        <v>0</v>
      </c>
      <c r="E126" s="112">
        <f>'Cash Flow %s Yr1'!E126</f>
        <v>0</v>
      </c>
      <c r="F126" s="112">
        <f>'Cash Flow %s Yr1'!F126</f>
        <v>0</v>
      </c>
      <c r="G126" s="112">
        <f>'Cash Flow %s Yr1'!G126</f>
        <v>0</v>
      </c>
      <c r="H126" s="112">
        <f>'Cash Flow %s Yr1'!H126</f>
        <v>0.125</v>
      </c>
      <c r="I126" s="112">
        <f>'Cash Flow %s Yr1'!I126</f>
        <v>0.125</v>
      </c>
      <c r="J126" s="112">
        <f>'Cash Flow %s Yr1'!J126</f>
        <v>0.125</v>
      </c>
      <c r="K126" s="112">
        <f>'Cash Flow %s Yr1'!K126</f>
        <v>0.125</v>
      </c>
      <c r="L126" s="112">
        <f>'Cash Flow %s Yr1'!L126</f>
        <v>0.125</v>
      </c>
      <c r="M126" s="112">
        <f>'Cash Flow %s Yr1'!M126</f>
        <v>0.125</v>
      </c>
      <c r="N126" s="112">
        <f>'Cash Flow %s Yr1'!N126</f>
        <v>0.125</v>
      </c>
      <c r="O126" s="112">
        <f>'Cash Flow %s Yr1'!O126</f>
        <v>0.125</v>
      </c>
      <c r="P126" s="112">
        <f>'Cash Flow %s Yr1'!P126</f>
        <v>0</v>
      </c>
      <c r="Q126" s="112">
        <f>'Cash Flow %s Yr1'!Q126</f>
        <v>0</v>
      </c>
      <c r="R126" s="112">
        <f>'Cash Flow %s Yr1'!R126</f>
        <v>0</v>
      </c>
      <c r="S126" s="111">
        <f t="shared" si="9"/>
        <v>1</v>
      </c>
    </row>
    <row r="127" spans="1:19" s="31" customFormat="1" x14ac:dyDescent="0.2">
      <c r="A127" s="36"/>
      <c r="B127" s="66" t="str">
        <f>'Expenses Summary'!B82</f>
        <v>5810</v>
      </c>
      <c r="C127" s="66" t="str">
        <f>'Expenses Summary'!C82</f>
        <v>Educational Consultants</v>
      </c>
      <c r="D127" s="112">
        <f>'Cash Flow %s Yr1'!D127</f>
        <v>0.05</v>
      </c>
      <c r="E127" s="112">
        <f>'Cash Flow %s Yr1'!E127</f>
        <v>0.05</v>
      </c>
      <c r="F127" s="112">
        <f>'Cash Flow %s Yr1'!F127</f>
        <v>0.09</v>
      </c>
      <c r="G127" s="112">
        <f>'Cash Flow %s Yr1'!G127</f>
        <v>0.09</v>
      </c>
      <c r="H127" s="112">
        <f>'Cash Flow %s Yr1'!H127</f>
        <v>0.09</v>
      </c>
      <c r="I127" s="112">
        <f>'Cash Flow %s Yr1'!I127</f>
        <v>0.09</v>
      </c>
      <c r="J127" s="112">
        <f>'Cash Flow %s Yr1'!J127</f>
        <v>0.09</v>
      </c>
      <c r="K127" s="112">
        <f>'Cash Flow %s Yr1'!K127</f>
        <v>0.09</v>
      </c>
      <c r="L127" s="112">
        <f>'Cash Flow %s Yr1'!L127</f>
        <v>0.09</v>
      </c>
      <c r="M127" s="112">
        <f>'Cash Flow %s Yr1'!M127</f>
        <v>0.09</v>
      </c>
      <c r="N127" s="112">
        <f>'Cash Flow %s Yr1'!N127</f>
        <v>0.09</v>
      </c>
      <c r="O127" s="112">
        <f>'Cash Flow %s Yr1'!O127</f>
        <v>0.09</v>
      </c>
      <c r="P127" s="112">
        <f>'Cash Flow %s Yr1'!P127</f>
        <v>0</v>
      </c>
      <c r="Q127" s="112">
        <f>'Cash Flow %s Yr1'!Q127</f>
        <v>0</v>
      </c>
      <c r="R127" s="112">
        <f>'Cash Flow %s Yr1'!R127</f>
        <v>0</v>
      </c>
      <c r="S127" s="111">
        <f t="shared" si="9"/>
        <v>0.99999999999999978</v>
      </c>
    </row>
    <row r="128" spans="1:19" s="31" customFormat="1" x14ac:dyDescent="0.2">
      <c r="A128" s="36"/>
      <c r="B128" s="66" t="str">
        <f>'Expenses Summary'!B83</f>
        <v>5815</v>
      </c>
      <c r="C128" s="66" t="str">
        <f>'Expenses Summary'!C83</f>
        <v>Advertising / Recruiting</v>
      </c>
      <c r="D128" s="112">
        <f>'Cash Flow %s Yr1'!D128</f>
        <v>0</v>
      </c>
      <c r="E128" s="112">
        <f>'Cash Flow %s Yr1'!E128</f>
        <v>0</v>
      </c>
      <c r="F128" s="112">
        <f>'Cash Flow %s Yr1'!F128</f>
        <v>0.1</v>
      </c>
      <c r="G128" s="112">
        <f>'Cash Flow %s Yr1'!G128</f>
        <v>0.1</v>
      </c>
      <c r="H128" s="112">
        <f>'Cash Flow %s Yr1'!H128</f>
        <v>0.1</v>
      </c>
      <c r="I128" s="112">
        <f>'Cash Flow %s Yr1'!I128</f>
        <v>0.1</v>
      </c>
      <c r="J128" s="112">
        <f>'Cash Flow %s Yr1'!J128</f>
        <v>0.1</v>
      </c>
      <c r="K128" s="112">
        <f>'Cash Flow %s Yr1'!K128</f>
        <v>0.1</v>
      </c>
      <c r="L128" s="112">
        <f>'Cash Flow %s Yr1'!L128</f>
        <v>0.1</v>
      </c>
      <c r="M128" s="112">
        <f>'Cash Flow %s Yr1'!M128</f>
        <v>0.1</v>
      </c>
      <c r="N128" s="112">
        <f>'Cash Flow %s Yr1'!N128</f>
        <v>0.1</v>
      </c>
      <c r="O128" s="112">
        <f>'Cash Flow %s Yr1'!O128</f>
        <v>0.1</v>
      </c>
      <c r="P128" s="112">
        <f>'Cash Flow %s Yr1'!P128</f>
        <v>0</v>
      </c>
      <c r="Q128" s="112">
        <f>'Cash Flow %s Yr1'!Q128</f>
        <v>0</v>
      </c>
      <c r="R128" s="112">
        <f>'Cash Flow %s Yr1'!R128</f>
        <v>0</v>
      </c>
      <c r="S128" s="111">
        <f t="shared" si="9"/>
        <v>0.99999999999999989</v>
      </c>
    </row>
    <row r="129" spans="1:19" s="31" customFormat="1" x14ac:dyDescent="0.2">
      <c r="A129" s="36"/>
      <c r="B129" s="66" t="str">
        <f>'Expenses Summary'!B84</f>
        <v>5820</v>
      </c>
      <c r="C129" s="66" t="str">
        <f>'Expenses Summary'!C84</f>
        <v>Fundraising Expense</v>
      </c>
      <c r="D129" s="112">
        <f>'Cash Flow %s Yr1'!D129</f>
        <v>0</v>
      </c>
      <c r="E129" s="112">
        <f>'Cash Flow %s Yr1'!E129</f>
        <v>0</v>
      </c>
      <c r="F129" s="112">
        <f>'Cash Flow %s Yr1'!F129</f>
        <v>0.1</v>
      </c>
      <c r="G129" s="112">
        <f>'Cash Flow %s Yr1'!G129</f>
        <v>0.1</v>
      </c>
      <c r="H129" s="112">
        <f>'Cash Flow %s Yr1'!H129</f>
        <v>0.1</v>
      </c>
      <c r="I129" s="112">
        <f>'Cash Flow %s Yr1'!I129</f>
        <v>0.1</v>
      </c>
      <c r="J129" s="112">
        <f>'Cash Flow %s Yr1'!J129</f>
        <v>0.1</v>
      </c>
      <c r="K129" s="112">
        <f>'Cash Flow %s Yr1'!K129</f>
        <v>0.1</v>
      </c>
      <c r="L129" s="112">
        <f>'Cash Flow %s Yr1'!L129</f>
        <v>0.1</v>
      </c>
      <c r="M129" s="112">
        <f>'Cash Flow %s Yr1'!M129</f>
        <v>0.1</v>
      </c>
      <c r="N129" s="112">
        <f>'Cash Flow %s Yr1'!N129</f>
        <v>0.1</v>
      </c>
      <c r="O129" s="112">
        <f>'Cash Flow %s Yr1'!O129</f>
        <v>0.1</v>
      </c>
      <c r="P129" s="112">
        <f>'Cash Flow %s Yr1'!P129</f>
        <v>0</v>
      </c>
      <c r="Q129" s="112">
        <f>'Cash Flow %s Yr1'!Q129</f>
        <v>0</v>
      </c>
      <c r="R129" s="112">
        <f>'Cash Flow %s Yr1'!R129</f>
        <v>0</v>
      </c>
      <c r="S129" s="111">
        <f t="shared" si="9"/>
        <v>0.99999999999999989</v>
      </c>
    </row>
    <row r="130" spans="1:19" s="31" customFormat="1" x14ac:dyDescent="0.2">
      <c r="A130" s="36"/>
      <c r="B130" s="66" t="str">
        <f>'Expenses Summary'!B85</f>
        <v>5875</v>
      </c>
      <c r="C130" s="66" t="str">
        <f>'Expenses Summary'!C85</f>
        <v>District Oversight Fee</v>
      </c>
      <c r="D130" s="112">
        <f>'Cash Flow %s Yr1'!D130</f>
        <v>0.23704389000000001</v>
      </c>
      <c r="E130" s="112">
        <f>'Cash Flow %s Yr1'!E130</f>
        <v>0</v>
      </c>
      <c r="F130" s="112">
        <f>'Cash Flow %s Yr1'!F130</f>
        <v>0</v>
      </c>
      <c r="G130" s="112">
        <f>'Cash Flow %s Yr1'!G130</f>
        <v>0</v>
      </c>
      <c r="H130" s="112">
        <f>'Cash Flow %s Yr1'!H130</f>
        <v>0.184235654</v>
      </c>
      <c r="I130" s="112">
        <f>'Cash Flow %s Yr1'!I130</f>
        <v>0</v>
      </c>
      <c r="J130" s="112">
        <f>'Cash Flow %s Yr1'!J130</f>
        <v>0.28936000000000001</v>
      </c>
      <c r="K130" s="112">
        <f>'Cash Flow %s Yr1'!K130</f>
        <v>0</v>
      </c>
      <c r="L130" s="112">
        <f>'Cash Flow %s Yr1'!L130</f>
        <v>0</v>
      </c>
      <c r="M130" s="112">
        <f>'Cash Flow %s Yr1'!M130</f>
        <v>0.28936000000000001</v>
      </c>
      <c r="N130" s="112">
        <f>'Cash Flow %s Yr1'!N130</f>
        <v>0</v>
      </c>
      <c r="O130" s="112">
        <f>'Cash Flow %s Yr1'!O130</f>
        <v>0</v>
      </c>
      <c r="P130" s="112">
        <f>'Cash Flow %s Yr1'!P130</f>
        <v>0</v>
      </c>
      <c r="Q130" s="112">
        <f>'Cash Flow %s Yr1'!Q130</f>
        <v>0</v>
      </c>
      <c r="R130" s="112">
        <f>'Cash Flow %s Yr1'!R130</f>
        <v>0</v>
      </c>
      <c r="S130" s="111">
        <f t="shared" si="9"/>
        <v>0.99999954400000002</v>
      </c>
    </row>
    <row r="131" spans="1:19" s="31" customFormat="1" x14ac:dyDescent="0.2">
      <c r="A131" s="36"/>
      <c r="B131" s="66" t="str">
        <f>'Expenses Summary'!B86</f>
        <v>5890</v>
      </c>
      <c r="C131" s="66" t="str">
        <f>'Expenses Summary'!C86</f>
        <v>Interest Expense / Misc. Fees</v>
      </c>
      <c r="D131" s="112">
        <f>'Cash Flow %s Yr1'!D131</f>
        <v>8.33285E-2</v>
      </c>
      <c r="E131" s="112">
        <f>'Cash Flow %s Yr1'!E131</f>
        <v>8.33285E-2</v>
      </c>
      <c r="F131" s="112">
        <f>'Cash Flow %s Yr1'!F131</f>
        <v>8.33285E-2</v>
      </c>
      <c r="G131" s="112">
        <f>'Cash Flow %s Yr1'!G131</f>
        <v>8.33285E-2</v>
      </c>
      <c r="H131" s="112">
        <f>'Cash Flow %s Yr1'!H131</f>
        <v>8.33285E-2</v>
      </c>
      <c r="I131" s="112">
        <f>'Cash Flow %s Yr1'!I131</f>
        <v>8.33285E-2</v>
      </c>
      <c r="J131" s="112">
        <f>'Cash Flow %s Yr1'!J131</f>
        <v>8.33285E-2</v>
      </c>
      <c r="K131" s="112">
        <f>'Cash Flow %s Yr1'!K131</f>
        <v>8.33285E-2</v>
      </c>
      <c r="L131" s="112">
        <f>'Cash Flow %s Yr1'!L131</f>
        <v>8.33285E-2</v>
      </c>
      <c r="M131" s="112">
        <f>'Cash Flow %s Yr1'!M131</f>
        <v>8.33285E-2</v>
      </c>
      <c r="N131" s="112">
        <f>'Cash Flow %s Yr1'!N131</f>
        <v>8.33285E-2</v>
      </c>
      <c r="O131" s="112">
        <f>'Cash Flow %s Yr1'!O131</f>
        <v>8.3386000000000002E-2</v>
      </c>
      <c r="P131" s="112">
        <f>'Cash Flow %s Yr1'!P131</f>
        <v>0</v>
      </c>
      <c r="Q131" s="112">
        <f>'Cash Flow %s Yr1'!Q131</f>
        <v>0</v>
      </c>
      <c r="R131" s="112">
        <f>'Cash Flow %s Yr1'!R131</f>
        <v>0</v>
      </c>
      <c r="S131" s="111">
        <f t="shared" si="9"/>
        <v>0.99999950000000015</v>
      </c>
    </row>
    <row r="132" spans="1:19" s="31" customFormat="1" x14ac:dyDescent="0.2">
      <c r="A132" s="36"/>
      <c r="B132" s="66" t="str">
        <f>'Expenses Summary'!B87</f>
        <v>5891</v>
      </c>
      <c r="C132" s="66" t="str">
        <f>'Expenses Summary'!C87</f>
        <v>Charter School Capital Fees</v>
      </c>
      <c r="D132" s="112">
        <f>'Cash Flow %s Yr1'!D132</f>
        <v>8.3000000000000004E-2</v>
      </c>
      <c r="E132" s="112">
        <f>'Cash Flow %s Yr1'!E132</f>
        <v>8.3000000000000004E-2</v>
      </c>
      <c r="F132" s="112">
        <f>'Cash Flow %s Yr1'!F132</f>
        <v>8.3000000000000004E-2</v>
      </c>
      <c r="G132" s="112">
        <f>'Cash Flow %s Yr1'!G132</f>
        <v>8.3000000000000004E-2</v>
      </c>
      <c r="H132" s="112">
        <f>'Cash Flow %s Yr1'!H132</f>
        <v>8.3000000000000004E-2</v>
      </c>
      <c r="I132" s="112">
        <f>'Cash Flow %s Yr1'!I132</f>
        <v>8.3000000000000004E-2</v>
      </c>
      <c r="J132" s="112">
        <f>'Cash Flow %s Yr1'!J132</f>
        <v>8.3000000000000004E-2</v>
      </c>
      <c r="K132" s="112">
        <f>'Cash Flow %s Yr1'!K132</f>
        <v>8.3000000000000004E-2</v>
      </c>
      <c r="L132" s="112">
        <f>'Cash Flow %s Yr1'!L132</f>
        <v>8.4000000000000005E-2</v>
      </c>
      <c r="M132" s="112">
        <f>'Cash Flow %s Yr1'!M132</f>
        <v>8.4000000000000005E-2</v>
      </c>
      <c r="N132" s="112">
        <f>'Cash Flow %s Yr1'!N132</f>
        <v>8.4000000000000005E-2</v>
      </c>
      <c r="O132" s="112">
        <f>'Cash Flow %s Yr1'!O132</f>
        <v>8.4000000000000005E-2</v>
      </c>
      <c r="P132" s="112">
        <f>'Cash Flow %s Yr1'!P132</f>
        <v>0</v>
      </c>
      <c r="Q132" s="112">
        <f>'Cash Flow %s Yr1'!Q132</f>
        <v>0</v>
      </c>
      <c r="R132" s="112">
        <f>'Cash Flow %s Yr1'!R132</f>
        <v>0</v>
      </c>
      <c r="S132" s="111">
        <f t="shared" si="9"/>
        <v>0.99999999999999989</v>
      </c>
    </row>
    <row r="133" spans="1:19" s="31" customFormat="1" hidden="1" outlineLevel="1" x14ac:dyDescent="0.2">
      <c r="A133" s="36"/>
      <c r="B133" s="66" t="str">
        <f>'Expenses Summary'!B88</f>
        <v>5899</v>
      </c>
      <c r="C133" s="66" t="str">
        <f>'Expenses Summary'!C88</f>
        <v>CMO Management Fee</v>
      </c>
      <c r="D133" s="112">
        <f>'Cash Flow %s Yr1'!D133</f>
        <v>0</v>
      </c>
      <c r="E133" s="112">
        <f>'Cash Flow %s Yr1'!E133</f>
        <v>0</v>
      </c>
      <c r="F133" s="112">
        <f>'Cash Flow %s Yr1'!F133</f>
        <v>0.1</v>
      </c>
      <c r="G133" s="112">
        <f>'Cash Flow %s Yr1'!G133</f>
        <v>0.1</v>
      </c>
      <c r="H133" s="112">
        <f>'Cash Flow %s Yr1'!H133</f>
        <v>0.1</v>
      </c>
      <c r="I133" s="112">
        <f>'Cash Flow %s Yr1'!I133</f>
        <v>0.1</v>
      </c>
      <c r="J133" s="112">
        <f>'Cash Flow %s Yr1'!J133</f>
        <v>0.1</v>
      </c>
      <c r="K133" s="112">
        <f>'Cash Flow %s Yr1'!K133</f>
        <v>0.1</v>
      </c>
      <c r="L133" s="112">
        <f>'Cash Flow %s Yr1'!L133</f>
        <v>0.1</v>
      </c>
      <c r="M133" s="112">
        <f>'Cash Flow %s Yr1'!M133</f>
        <v>0.1</v>
      </c>
      <c r="N133" s="112">
        <f>'Cash Flow %s Yr1'!N133</f>
        <v>0.1</v>
      </c>
      <c r="O133" s="112">
        <f>'Cash Flow %s Yr1'!O133</f>
        <v>0.1</v>
      </c>
      <c r="P133" s="112">
        <f>'Cash Flow %s Yr1'!P133</f>
        <v>0</v>
      </c>
      <c r="Q133" s="112">
        <f>'Cash Flow %s Yr1'!Q133</f>
        <v>0</v>
      </c>
      <c r="R133" s="112">
        <f>'Cash Flow %s Yr1'!R133</f>
        <v>0</v>
      </c>
      <c r="S133" s="111">
        <f t="shared" si="9"/>
        <v>0.99999999999999989</v>
      </c>
    </row>
    <row r="134" spans="1:19" s="31" customFormat="1" hidden="1" outlineLevel="1" x14ac:dyDescent="0.2">
      <c r="A134" s="36"/>
      <c r="B134" s="66" t="str">
        <f>'Expenses Summary'!B89</f>
        <v>5900</v>
      </c>
      <c r="C134" s="66" t="str">
        <f>'Expenses Summary'!C89</f>
        <v>Communications</v>
      </c>
      <c r="D134" s="112">
        <f>'Cash Flow %s Yr1'!D134</f>
        <v>0</v>
      </c>
      <c r="E134" s="112">
        <f>'Cash Flow %s Yr1'!E134</f>
        <v>0</v>
      </c>
      <c r="F134" s="112">
        <f>'Cash Flow %s Yr1'!F134</f>
        <v>0.1</v>
      </c>
      <c r="G134" s="112">
        <f>'Cash Flow %s Yr1'!G134</f>
        <v>0.1</v>
      </c>
      <c r="H134" s="112">
        <f>'Cash Flow %s Yr1'!H134</f>
        <v>0.1</v>
      </c>
      <c r="I134" s="112">
        <f>'Cash Flow %s Yr1'!I134</f>
        <v>0.1</v>
      </c>
      <c r="J134" s="112">
        <f>'Cash Flow %s Yr1'!J134</f>
        <v>0.1</v>
      </c>
      <c r="K134" s="112">
        <f>'Cash Flow %s Yr1'!K134</f>
        <v>0.1</v>
      </c>
      <c r="L134" s="112">
        <f>'Cash Flow %s Yr1'!L134</f>
        <v>0.1</v>
      </c>
      <c r="M134" s="112">
        <f>'Cash Flow %s Yr1'!M134</f>
        <v>0.1</v>
      </c>
      <c r="N134" s="112">
        <f>'Cash Flow %s Yr1'!N134</f>
        <v>0.1</v>
      </c>
      <c r="O134" s="112">
        <f>'Cash Flow %s Yr1'!O134</f>
        <v>0.1</v>
      </c>
      <c r="P134" s="112">
        <f>'Cash Flow %s Yr1'!P134</f>
        <v>0</v>
      </c>
      <c r="Q134" s="112">
        <f>'Cash Flow %s Yr1'!Q134</f>
        <v>0</v>
      </c>
      <c r="R134" s="112">
        <f>'Cash Flow %s Yr1'!R134</f>
        <v>0</v>
      </c>
      <c r="S134" s="111">
        <f t="shared" si="9"/>
        <v>0.99999999999999989</v>
      </c>
    </row>
    <row r="135" spans="1:19" s="31" customFormat="1" hidden="1" outlineLevel="1" x14ac:dyDescent="0.2">
      <c r="A135" s="36"/>
      <c r="B135" s="66">
        <f>'Expenses Summary'!B90</f>
        <v>0</v>
      </c>
      <c r="C135" s="66">
        <f>'Expenses Summary'!C90</f>
        <v>0</v>
      </c>
      <c r="D135" s="112">
        <f>'Cash Flow %s Yr1'!D135</f>
        <v>0</v>
      </c>
      <c r="E135" s="112">
        <f>'Cash Flow %s Yr1'!E135</f>
        <v>0</v>
      </c>
      <c r="F135" s="112">
        <f>'Cash Flow %s Yr1'!F135</f>
        <v>0.1</v>
      </c>
      <c r="G135" s="112">
        <f>'Cash Flow %s Yr1'!G135</f>
        <v>0.1</v>
      </c>
      <c r="H135" s="112">
        <f>'Cash Flow %s Yr1'!H135</f>
        <v>0.1</v>
      </c>
      <c r="I135" s="112">
        <f>'Cash Flow %s Yr1'!I135</f>
        <v>0.1</v>
      </c>
      <c r="J135" s="112">
        <f>'Cash Flow %s Yr1'!J135</f>
        <v>0.1</v>
      </c>
      <c r="K135" s="112">
        <f>'Cash Flow %s Yr1'!K135</f>
        <v>0.1</v>
      </c>
      <c r="L135" s="112">
        <f>'Cash Flow %s Yr1'!L135</f>
        <v>0.1</v>
      </c>
      <c r="M135" s="112">
        <f>'Cash Flow %s Yr1'!M135</f>
        <v>0.1</v>
      </c>
      <c r="N135" s="112">
        <f>'Cash Flow %s Yr1'!N135</f>
        <v>0.1</v>
      </c>
      <c r="O135" s="112">
        <f>'Cash Flow %s Yr1'!O135</f>
        <v>0.1</v>
      </c>
      <c r="P135" s="112">
        <f>'Cash Flow %s Yr1'!P135</f>
        <v>0</v>
      </c>
      <c r="Q135" s="112">
        <f>'Cash Flow %s Yr1'!Q135</f>
        <v>0</v>
      </c>
      <c r="R135" s="112">
        <f>'Cash Flow %s Yr1'!R135</f>
        <v>0</v>
      </c>
      <c r="S135" s="111">
        <f t="shared" si="9"/>
        <v>0.99999999999999989</v>
      </c>
    </row>
    <row r="136" spans="1:19" s="31" customFormat="1" hidden="1" outlineLevel="1" x14ac:dyDescent="0.2">
      <c r="A136" s="36"/>
      <c r="B136" s="66">
        <f>'Expenses Summary'!B91</f>
        <v>0</v>
      </c>
      <c r="C136" s="66">
        <f>'Expenses Summary'!C91</f>
        <v>0</v>
      </c>
      <c r="D136" s="112">
        <f>'Cash Flow %s Yr1'!D136</f>
        <v>0</v>
      </c>
      <c r="E136" s="112">
        <f>'Cash Flow %s Yr1'!E136</f>
        <v>0</v>
      </c>
      <c r="F136" s="112">
        <f>'Cash Flow %s Yr1'!F136</f>
        <v>0.1</v>
      </c>
      <c r="G136" s="112">
        <f>'Cash Flow %s Yr1'!G136</f>
        <v>0.1</v>
      </c>
      <c r="H136" s="112">
        <f>'Cash Flow %s Yr1'!H136</f>
        <v>0.1</v>
      </c>
      <c r="I136" s="112">
        <f>'Cash Flow %s Yr1'!I136</f>
        <v>0.1</v>
      </c>
      <c r="J136" s="112">
        <f>'Cash Flow %s Yr1'!J136</f>
        <v>0.1</v>
      </c>
      <c r="K136" s="112">
        <f>'Cash Flow %s Yr1'!K136</f>
        <v>0.1</v>
      </c>
      <c r="L136" s="112">
        <f>'Cash Flow %s Yr1'!L136</f>
        <v>0.1</v>
      </c>
      <c r="M136" s="112">
        <f>'Cash Flow %s Yr1'!M136</f>
        <v>0.1</v>
      </c>
      <c r="N136" s="112">
        <f>'Cash Flow %s Yr1'!N136</f>
        <v>0.1</v>
      </c>
      <c r="O136" s="112">
        <f>'Cash Flow %s Yr1'!O136</f>
        <v>0.1</v>
      </c>
      <c r="P136" s="112">
        <f>'Cash Flow %s Yr1'!P136</f>
        <v>0</v>
      </c>
      <c r="Q136" s="112">
        <f>'Cash Flow %s Yr1'!Q136</f>
        <v>0</v>
      </c>
      <c r="R136" s="112">
        <f>'Cash Flow %s Yr1'!R136</f>
        <v>0</v>
      </c>
      <c r="S136" s="111">
        <f t="shared" si="9"/>
        <v>0.99999999999999989</v>
      </c>
    </row>
    <row r="137" spans="1:19" s="31" customFormat="1" hidden="1" outlineLevel="1" x14ac:dyDescent="0.2">
      <c r="A137" s="36"/>
      <c r="B137" s="66">
        <f>'Expenses Summary'!B92</f>
        <v>0</v>
      </c>
      <c r="C137" s="66">
        <f>'Expenses Summary'!C92</f>
        <v>0</v>
      </c>
      <c r="D137" s="112">
        <f>'Cash Flow %s Yr1'!D137</f>
        <v>0</v>
      </c>
      <c r="E137" s="112">
        <f>'Cash Flow %s Yr1'!E137</f>
        <v>0</v>
      </c>
      <c r="F137" s="112">
        <f>'Cash Flow %s Yr1'!F137</f>
        <v>0.1</v>
      </c>
      <c r="G137" s="112">
        <f>'Cash Flow %s Yr1'!G137</f>
        <v>0.1</v>
      </c>
      <c r="H137" s="112">
        <f>'Cash Flow %s Yr1'!H137</f>
        <v>0.1</v>
      </c>
      <c r="I137" s="112">
        <f>'Cash Flow %s Yr1'!I137</f>
        <v>0.1</v>
      </c>
      <c r="J137" s="112">
        <f>'Cash Flow %s Yr1'!J137</f>
        <v>0.1</v>
      </c>
      <c r="K137" s="112">
        <f>'Cash Flow %s Yr1'!K137</f>
        <v>0.1</v>
      </c>
      <c r="L137" s="112">
        <f>'Cash Flow %s Yr1'!L137</f>
        <v>0.1</v>
      </c>
      <c r="M137" s="112">
        <f>'Cash Flow %s Yr1'!M137</f>
        <v>0.1</v>
      </c>
      <c r="N137" s="112">
        <f>'Cash Flow %s Yr1'!N137</f>
        <v>0.1</v>
      </c>
      <c r="O137" s="112">
        <f>'Cash Flow %s Yr1'!O137</f>
        <v>0.1</v>
      </c>
      <c r="P137" s="112">
        <f>'Cash Flow %s Yr1'!P137</f>
        <v>0</v>
      </c>
      <c r="Q137" s="112">
        <f>'Cash Flow %s Yr1'!Q137</f>
        <v>0</v>
      </c>
      <c r="R137" s="112">
        <f>'Cash Flow %s Yr1'!R137</f>
        <v>0</v>
      </c>
      <c r="S137" s="111">
        <f t="shared" si="9"/>
        <v>0.99999999999999989</v>
      </c>
    </row>
    <row r="138" spans="1:19" s="31" customFormat="1" hidden="1" outlineLevel="1" x14ac:dyDescent="0.2">
      <c r="A138" s="36"/>
      <c r="B138" s="66">
        <f>'Expenses Summary'!B93</f>
        <v>0</v>
      </c>
      <c r="C138" s="66">
        <f>'Expenses Summary'!C93</f>
        <v>0</v>
      </c>
      <c r="D138" s="112">
        <f>'Cash Flow %s Yr1'!D138</f>
        <v>0</v>
      </c>
      <c r="E138" s="112">
        <f>'Cash Flow %s Yr1'!E138</f>
        <v>0</v>
      </c>
      <c r="F138" s="112">
        <f>'Cash Flow %s Yr1'!F138</f>
        <v>0.1</v>
      </c>
      <c r="G138" s="112">
        <f>'Cash Flow %s Yr1'!G138</f>
        <v>0.1</v>
      </c>
      <c r="H138" s="112">
        <f>'Cash Flow %s Yr1'!H138</f>
        <v>0.1</v>
      </c>
      <c r="I138" s="112">
        <f>'Cash Flow %s Yr1'!I138</f>
        <v>0.1</v>
      </c>
      <c r="J138" s="112">
        <f>'Cash Flow %s Yr1'!J138</f>
        <v>0.1</v>
      </c>
      <c r="K138" s="112">
        <f>'Cash Flow %s Yr1'!K138</f>
        <v>0.1</v>
      </c>
      <c r="L138" s="112">
        <f>'Cash Flow %s Yr1'!L138</f>
        <v>0.1</v>
      </c>
      <c r="M138" s="112">
        <f>'Cash Flow %s Yr1'!M138</f>
        <v>0.1</v>
      </c>
      <c r="N138" s="112">
        <f>'Cash Flow %s Yr1'!N138</f>
        <v>0.1</v>
      </c>
      <c r="O138" s="112">
        <f>'Cash Flow %s Yr1'!O138</f>
        <v>0.1</v>
      </c>
      <c r="P138" s="112">
        <f>'Cash Flow %s Yr1'!P138</f>
        <v>0</v>
      </c>
      <c r="Q138" s="112">
        <f>'Cash Flow %s Yr1'!Q138</f>
        <v>0</v>
      </c>
      <c r="R138" s="112">
        <f>'Cash Flow %s Yr1'!R138</f>
        <v>0</v>
      </c>
      <c r="S138" s="111">
        <f t="shared" si="9"/>
        <v>0.99999999999999989</v>
      </c>
    </row>
    <row r="139" spans="1:19" s="31" customFormat="1" hidden="1" outlineLevel="1" x14ac:dyDescent="0.2">
      <c r="A139" s="36"/>
      <c r="B139" s="66">
        <f>'Expenses Summary'!B94</f>
        <v>0</v>
      </c>
      <c r="C139" s="66">
        <f>'Expenses Summary'!C94</f>
        <v>0</v>
      </c>
      <c r="D139" s="112">
        <f>'Cash Flow %s Yr1'!D139</f>
        <v>0</v>
      </c>
      <c r="E139" s="112">
        <f>'Cash Flow %s Yr1'!E139</f>
        <v>0</v>
      </c>
      <c r="F139" s="112">
        <f>'Cash Flow %s Yr1'!F139</f>
        <v>0.1</v>
      </c>
      <c r="G139" s="112">
        <f>'Cash Flow %s Yr1'!G139</f>
        <v>0.1</v>
      </c>
      <c r="H139" s="112">
        <f>'Cash Flow %s Yr1'!H139</f>
        <v>0.1</v>
      </c>
      <c r="I139" s="112">
        <f>'Cash Flow %s Yr1'!I139</f>
        <v>0.1</v>
      </c>
      <c r="J139" s="112">
        <f>'Cash Flow %s Yr1'!J139</f>
        <v>0.1</v>
      </c>
      <c r="K139" s="112">
        <f>'Cash Flow %s Yr1'!K139</f>
        <v>0.1</v>
      </c>
      <c r="L139" s="112">
        <f>'Cash Flow %s Yr1'!L139</f>
        <v>0.1</v>
      </c>
      <c r="M139" s="112">
        <f>'Cash Flow %s Yr1'!M139</f>
        <v>0.1</v>
      </c>
      <c r="N139" s="112">
        <f>'Cash Flow %s Yr1'!N139</f>
        <v>0.1</v>
      </c>
      <c r="O139" s="112">
        <f>'Cash Flow %s Yr1'!O139</f>
        <v>0.1</v>
      </c>
      <c r="P139" s="112">
        <f>'Cash Flow %s Yr1'!P139</f>
        <v>0</v>
      </c>
      <c r="Q139" s="112">
        <f>'Cash Flow %s Yr1'!Q139</f>
        <v>0</v>
      </c>
      <c r="R139" s="112">
        <f>'Cash Flow %s Yr1'!R139</f>
        <v>0</v>
      </c>
      <c r="S139" s="111">
        <f t="shared" si="9"/>
        <v>0.99999999999999989</v>
      </c>
    </row>
    <row r="140" spans="1:19" s="31" customFormat="1" hidden="1" outlineLevel="1" x14ac:dyDescent="0.2">
      <c r="A140" s="36"/>
      <c r="B140" s="66">
        <f>'Expenses Summary'!B95</f>
        <v>0</v>
      </c>
      <c r="C140" s="66">
        <f>'Expenses Summary'!C95</f>
        <v>0</v>
      </c>
      <c r="D140" s="112">
        <f>'Cash Flow %s Yr1'!D140</f>
        <v>0</v>
      </c>
      <c r="E140" s="112">
        <f>'Cash Flow %s Yr1'!E140</f>
        <v>0</v>
      </c>
      <c r="F140" s="112">
        <f>'Cash Flow %s Yr1'!F140</f>
        <v>0.1</v>
      </c>
      <c r="G140" s="112">
        <f>'Cash Flow %s Yr1'!G140</f>
        <v>0.1</v>
      </c>
      <c r="H140" s="112">
        <f>'Cash Flow %s Yr1'!H140</f>
        <v>0.1</v>
      </c>
      <c r="I140" s="112">
        <f>'Cash Flow %s Yr1'!I140</f>
        <v>0.1</v>
      </c>
      <c r="J140" s="112">
        <f>'Cash Flow %s Yr1'!J140</f>
        <v>0.1</v>
      </c>
      <c r="K140" s="112">
        <f>'Cash Flow %s Yr1'!K140</f>
        <v>0.1</v>
      </c>
      <c r="L140" s="112">
        <f>'Cash Flow %s Yr1'!L140</f>
        <v>0.1</v>
      </c>
      <c r="M140" s="112">
        <f>'Cash Flow %s Yr1'!M140</f>
        <v>0.1</v>
      </c>
      <c r="N140" s="112">
        <f>'Cash Flow %s Yr1'!N140</f>
        <v>0.1</v>
      </c>
      <c r="O140" s="112">
        <f>'Cash Flow %s Yr1'!O140</f>
        <v>0.1</v>
      </c>
      <c r="P140" s="112">
        <f>'Cash Flow %s Yr1'!P140</f>
        <v>0</v>
      </c>
      <c r="Q140" s="112">
        <f>'Cash Flow %s Yr1'!Q140</f>
        <v>0</v>
      </c>
      <c r="R140" s="112">
        <f>'Cash Flow %s Yr1'!R140</f>
        <v>0</v>
      </c>
      <c r="S140" s="111">
        <f t="shared" si="9"/>
        <v>0.99999999999999989</v>
      </c>
    </row>
    <row r="141" spans="1:19" s="31" customFormat="1" hidden="1" outlineLevel="1" x14ac:dyDescent="0.2">
      <c r="A141" s="36"/>
      <c r="B141" s="66">
        <f>'Expenses Summary'!B96</f>
        <v>0</v>
      </c>
      <c r="C141" s="66">
        <f>'Expenses Summary'!C96</f>
        <v>0</v>
      </c>
      <c r="D141" s="112">
        <f>'Cash Flow %s Yr1'!D141</f>
        <v>0</v>
      </c>
      <c r="E141" s="112">
        <f>'Cash Flow %s Yr1'!E141</f>
        <v>0</v>
      </c>
      <c r="F141" s="112">
        <f>'Cash Flow %s Yr1'!F141</f>
        <v>0.1</v>
      </c>
      <c r="G141" s="112">
        <f>'Cash Flow %s Yr1'!G141</f>
        <v>0.1</v>
      </c>
      <c r="H141" s="112">
        <f>'Cash Flow %s Yr1'!H141</f>
        <v>0.1</v>
      </c>
      <c r="I141" s="112">
        <f>'Cash Flow %s Yr1'!I141</f>
        <v>0.1</v>
      </c>
      <c r="J141" s="112">
        <f>'Cash Flow %s Yr1'!J141</f>
        <v>0.1</v>
      </c>
      <c r="K141" s="112">
        <f>'Cash Flow %s Yr1'!K141</f>
        <v>0.1</v>
      </c>
      <c r="L141" s="112">
        <f>'Cash Flow %s Yr1'!L141</f>
        <v>0.1</v>
      </c>
      <c r="M141" s="112">
        <f>'Cash Flow %s Yr1'!M141</f>
        <v>0.1</v>
      </c>
      <c r="N141" s="112">
        <f>'Cash Flow %s Yr1'!N141</f>
        <v>0.1</v>
      </c>
      <c r="O141" s="112">
        <f>'Cash Flow %s Yr1'!O141</f>
        <v>0.1</v>
      </c>
      <c r="P141" s="112">
        <f>'Cash Flow %s Yr1'!P141</f>
        <v>0</v>
      </c>
      <c r="Q141" s="112">
        <f>'Cash Flow %s Yr1'!Q141</f>
        <v>0</v>
      </c>
      <c r="R141" s="112">
        <f>'Cash Flow %s Yr1'!R141</f>
        <v>0</v>
      </c>
      <c r="S141" s="111">
        <f t="shared" si="9"/>
        <v>0.99999999999999989</v>
      </c>
    </row>
    <row r="142" spans="1:19" s="31" customFormat="1" hidden="1" outlineLevel="1" x14ac:dyDescent="0.2">
      <c r="A142" s="36"/>
      <c r="B142" s="66">
        <f>'Expenses Summary'!B97</f>
        <v>0</v>
      </c>
      <c r="C142" s="66">
        <f>'Expenses Summary'!C97</f>
        <v>0</v>
      </c>
      <c r="D142" s="112">
        <f>'Cash Flow %s Yr1'!D142</f>
        <v>0</v>
      </c>
      <c r="E142" s="112">
        <f>'Cash Flow %s Yr1'!E142</f>
        <v>0</v>
      </c>
      <c r="F142" s="112">
        <f>'Cash Flow %s Yr1'!F142</f>
        <v>0.1</v>
      </c>
      <c r="G142" s="112">
        <f>'Cash Flow %s Yr1'!G142</f>
        <v>0.1</v>
      </c>
      <c r="H142" s="112">
        <f>'Cash Flow %s Yr1'!H142</f>
        <v>0.1</v>
      </c>
      <c r="I142" s="112">
        <f>'Cash Flow %s Yr1'!I142</f>
        <v>0.1</v>
      </c>
      <c r="J142" s="112">
        <f>'Cash Flow %s Yr1'!J142</f>
        <v>0.1</v>
      </c>
      <c r="K142" s="112">
        <f>'Cash Flow %s Yr1'!K142</f>
        <v>0.1</v>
      </c>
      <c r="L142" s="112">
        <f>'Cash Flow %s Yr1'!L142</f>
        <v>0.1</v>
      </c>
      <c r="M142" s="112">
        <f>'Cash Flow %s Yr1'!M142</f>
        <v>0.1</v>
      </c>
      <c r="N142" s="112">
        <f>'Cash Flow %s Yr1'!N142</f>
        <v>0.1</v>
      </c>
      <c r="O142" s="112">
        <f>'Cash Flow %s Yr1'!O142</f>
        <v>0.1</v>
      </c>
      <c r="P142" s="112">
        <f>'Cash Flow %s Yr1'!P142</f>
        <v>0</v>
      </c>
      <c r="Q142" s="112">
        <f>'Cash Flow %s Yr1'!Q142</f>
        <v>0</v>
      </c>
      <c r="R142" s="112">
        <f>'Cash Flow %s Yr1'!R142</f>
        <v>0</v>
      </c>
      <c r="S142" s="111">
        <f>SUM(D142:R142)</f>
        <v>0.99999999999999989</v>
      </c>
    </row>
    <row r="143" spans="1:19" s="31" customFormat="1" collapsed="1" x14ac:dyDescent="0.2">
      <c r="A143" s="36"/>
      <c r="B143" s="66" t="str">
        <f>'Expenses Summary'!B98</f>
        <v>5999</v>
      </c>
      <c r="C143" s="66" t="str">
        <f>'Expenses Summary'!C98</f>
        <v>Expense Suspense</v>
      </c>
      <c r="D143" s="112">
        <f>'Cash Flow %s Yr1'!D143</f>
        <v>0.05</v>
      </c>
      <c r="E143" s="112">
        <f>'Cash Flow %s Yr1'!E143</f>
        <v>0.05</v>
      </c>
      <c r="F143" s="112">
        <f>'Cash Flow %s Yr1'!F143</f>
        <v>0.09</v>
      </c>
      <c r="G143" s="112">
        <f>'Cash Flow %s Yr1'!G143</f>
        <v>0.09</v>
      </c>
      <c r="H143" s="112">
        <f>'Cash Flow %s Yr1'!H143</f>
        <v>0.09</v>
      </c>
      <c r="I143" s="112">
        <f>'Cash Flow %s Yr1'!I143</f>
        <v>0.09</v>
      </c>
      <c r="J143" s="112">
        <f>'Cash Flow %s Yr1'!J143</f>
        <v>0.09</v>
      </c>
      <c r="K143" s="112">
        <f>'Cash Flow %s Yr1'!K143</f>
        <v>0.09</v>
      </c>
      <c r="L143" s="112">
        <f>'Cash Flow %s Yr1'!L143</f>
        <v>0.09</v>
      </c>
      <c r="M143" s="112">
        <f>'Cash Flow %s Yr1'!M143</f>
        <v>0.09</v>
      </c>
      <c r="N143" s="112">
        <f>'Cash Flow %s Yr1'!N143</f>
        <v>0.09</v>
      </c>
      <c r="O143" s="112">
        <f>'Cash Flow %s Yr1'!O143</f>
        <v>0.09</v>
      </c>
      <c r="P143" s="112">
        <f>'Cash Flow %s Yr1'!P143</f>
        <v>0</v>
      </c>
      <c r="Q143" s="112">
        <f>'Cash Flow %s Yr1'!Q143</f>
        <v>0</v>
      </c>
      <c r="R143" s="112">
        <f>'Cash Flow %s Yr1'!R143</f>
        <v>0</v>
      </c>
      <c r="S143" s="111">
        <f>SUM(D143:R143)</f>
        <v>0.99999999999999978</v>
      </c>
    </row>
    <row r="144" spans="1:19" s="31" customFormat="1" x14ac:dyDescent="0.2">
      <c r="A144" s="36"/>
      <c r="B144" s="124"/>
      <c r="C144" s="93"/>
      <c r="D144" s="100"/>
      <c r="E144" s="100"/>
      <c r="F144" s="100"/>
      <c r="G144" s="100"/>
      <c r="H144" s="100"/>
      <c r="I144" s="100"/>
      <c r="J144" s="100"/>
      <c r="K144" s="100"/>
      <c r="L144" s="100"/>
      <c r="M144" s="100"/>
      <c r="N144" s="100"/>
      <c r="O144" s="100"/>
      <c r="P144" s="108"/>
      <c r="Q144" s="108"/>
      <c r="R144" s="108"/>
      <c r="S144" s="111"/>
    </row>
    <row r="145" spans="1:24" s="31" customFormat="1" x14ac:dyDescent="0.2">
      <c r="A145" s="36"/>
      <c r="B145" s="4"/>
      <c r="C145" s="3"/>
      <c r="D145" s="95"/>
      <c r="E145" s="95"/>
      <c r="F145" s="95"/>
      <c r="G145" s="95"/>
      <c r="H145" s="95"/>
      <c r="I145" s="95"/>
      <c r="J145" s="95"/>
      <c r="K145" s="95"/>
      <c r="L145" s="95"/>
      <c r="M145" s="95"/>
      <c r="N145" s="95"/>
      <c r="O145" s="95"/>
      <c r="P145" s="95"/>
      <c r="Q145" s="95"/>
      <c r="R145" s="95"/>
      <c r="S145" s="111"/>
    </row>
    <row r="146" spans="1:24" s="31" customFormat="1" x14ac:dyDescent="0.2">
      <c r="B146" s="34" t="s">
        <v>723</v>
      </c>
      <c r="C146" s="3"/>
      <c r="D146" s="95"/>
      <c r="E146" s="95"/>
      <c r="F146" s="95"/>
      <c r="G146" s="95"/>
      <c r="H146" s="95"/>
      <c r="I146" s="95"/>
      <c r="J146" s="95"/>
      <c r="K146" s="95"/>
      <c r="L146" s="95"/>
      <c r="M146" s="95"/>
      <c r="N146" s="95"/>
      <c r="O146" s="95"/>
      <c r="P146" s="95"/>
      <c r="Q146" s="95"/>
      <c r="R146" s="95"/>
      <c r="S146" s="111"/>
    </row>
    <row r="147" spans="1:24" s="31" customFormat="1" x14ac:dyDescent="0.2">
      <c r="A147" s="36"/>
      <c r="B147" s="66" t="str">
        <f>'Expenses Summary'!B102</f>
        <v>6900</v>
      </c>
      <c r="C147" s="66" t="str">
        <f>'Expenses Summary'!C102</f>
        <v xml:space="preserve">Depreciation Expense                                                            </v>
      </c>
      <c r="D147" s="112">
        <f>'Cash Flow %s Yr1'!D147</f>
        <v>0</v>
      </c>
      <c r="E147" s="112">
        <f>'Cash Flow %s Yr1'!E147</f>
        <v>0</v>
      </c>
      <c r="F147" s="112">
        <f>'Cash Flow %s Yr1'!F147</f>
        <v>0</v>
      </c>
      <c r="G147" s="112">
        <f>'Cash Flow %s Yr1'!G147</f>
        <v>0</v>
      </c>
      <c r="H147" s="112">
        <f>'Cash Flow %s Yr1'!H147</f>
        <v>0</v>
      </c>
      <c r="I147" s="112">
        <f>'Cash Flow %s Yr1'!I147</f>
        <v>0</v>
      </c>
      <c r="J147" s="112">
        <f>'Cash Flow %s Yr1'!J147</f>
        <v>0</v>
      </c>
      <c r="K147" s="112">
        <f>'Cash Flow %s Yr1'!K147</f>
        <v>0</v>
      </c>
      <c r="L147" s="112">
        <f>'Cash Flow %s Yr1'!L147</f>
        <v>0</v>
      </c>
      <c r="M147" s="112">
        <f>'Cash Flow %s Yr1'!M147</f>
        <v>0</v>
      </c>
      <c r="N147" s="112">
        <f>'Cash Flow %s Yr1'!N147</f>
        <v>0</v>
      </c>
      <c r="O147" s="112">
        <f>'Cash Flow %s Yr1'!O147</f>
        <v>1</v>
      </c>
      <c r="P147" s="112">
        <f>'Cash Flow %s Yr1'!P147</f>
        <v>0</v>
      </c>
      <c r="Q147" s="112">
        <f>'Cash Flow %s Yr1'!Q147</f>
        <v>0</v>
      </c>
      <c r="R147" s="112">
        <f>'Cash Flow %s Yr1'!R147</f>
        <v>0</v>
      </c>
      <c r="S147" s="111">
        <f>SUM(D147:R147)</f>
        <v>1</v>
      </c>
    </row>
    <row r="148" spans="1:24" s="31" customFormat="1" x14ac:dyDescent="0.2">
      <c r="A148" s="36"/>
      <c r="B148" s="124"/>
      <c r="C148" s="93"/>
      <c r="D148" s="100"/>
      <c r="E148" s="100"/>
      <c r="F148" s="100"/>
      <c r="G148" s="100"/>
      <c r="H148" s="100"/>
      <c r="I148" s="108"/>
      <c r="J148" s="108"/>
      <c r="K148" s="108"/>
      <c r="L148" s="108"/>
      <c r="M148" s="108"/>
      <c r="N148" s="108"/>
      <c r="O148" s="108"/>
      <c r="P148" s="108"/>
      <c r="Q148" s="108"/>
      <c r="R148" s="108"/>
      <c r="S148" s="111"/>
    </row>
    <row r="149" spans="1:24" s="31" customFormat="1" x14ac:dyDescent="0.2">
      <c r="A149" s="36"/>
      <c r="B149" s="4"/>
      <c r="C149" s="3"/>
      <c r="D149" s="95"/>
      <c r="E149" s="104"/>
      <c r="F149" s="104"/>
      <c r="G149" s="95"/>
      <c r="H149" s="95"/>
      <c r="I149" s="95"/>
      <c r="J149" s="95"/>
      <c r="K149" s="95"/>
      <c r="L149" s="95"/>
      <c r="M149" s="95"/>
      <c r="N149" s="95"/>
      <c r="O149" s="95"/>
      <c r="P149" s="95"/>
      <c r="Q149" s="95"/>
      <c r="R149" s="95"/>
      <c r="S149" s="111"/>
    </row>
    <row r="150" spans="1:24" s="31" customFormat="1" x14ac:dyDescent="0.2">
      <c r="B150" s="34" t="s">
        <v>724</v>
      </c>
      <c r="C150" s="3"/>
      <c r="D150" s="95"/>
      <c r="E150" s="104"/>
      <c r="F150" s="104"/>
      <c r="G150" s="95"/>
      <c r="H150" s="95"/>
      <c r="I150" s="95"/>
      <c r="J150" s="95"/>
      <c r="K150" s="95"/>
      <c r="L150" s="95"/>
      <c r="M150" s="95"/>
      <c r="N150" s="95"/>
      <c r="O150" s="95"/>
      <c r="P150" s="95"/>
      <c r="Q150" s="95"/>
      <c r="R150" s="95"/>
      <c r="S150" s="111"/>
    </row>
    <row r="151" spans="1:24" s="31" customFormat="1" x14ac:dyDescent="0.2">
      <c r="A151" s="36"/>
      <c r="B151" s="66" t="str">
        <f>'Expenses Summary'!B106</f>
        <v>7000</v>
      </c>
      <c r="C151" s="66" t="str">
        <f>'Expenses Summary'!C106</f>
        <v>Miscellaneous Expense</v>
      </c>
      <c r="D151" s="112">
        <f>'Cash Flow %s Yr1'!D151</f>
        <v>0.05</v>
      </c>
      <c r="E151" s="112">
        <f>'Cash Flow %s Yr1'!E151</f>
        <v>0.05</v>
      </c>
      <c r="F151" s="112">
        <f>'Cash Flow %s Yr1'!F151</f>
        <v>0.09</v>
      </c>
      <c r="G151" s="112">
        <f>'Cash Flow %s Yr1'!G151</f>
        <v>0.09</v>
      </c>
      <c r="H151" s="112">
        <f>'Cash Flow %s Yr1'!H151</f>
        <v>0.09</v>
      </c>
      <c r="I151" s="112">
        <f>'Cash Flow %s Yr1'!I151</f>
        <v>0.09</v>
      </c>
      <c r="J151" s="112">
        <f>'Cash Flow %s Yr1'!J151</f>
        <v>0.09</v>
      </c>
      <c r="K151" s="112">
        <f>'Cash Flow %s Yr1'!K151</f>
        <v>0.09</v>
      </c>
      <c r="L151" s="112">
        <f>'Cash Flow %s Yr1'!L151</f>
        <v>0.09</v>
      </c>
      <c r="M151" s="112">
        <f>'Cash Flow %s Yr1'!M151</f>
        <v>0.09</v>
      </c>
      <c r="N151" s="112">
        <f>'Cash Flow %s Yr1'!N151</f>
        <v>0.09</v>
      </c>
      <c r="O151" s="112">
        <f>'Cash Flow %s Yr1'!O151</f>
        <v>0.09</v>
      </c>
      <c r="P151" s="112">
        <f>'Cash Flow %s Yr1'!P151</f>
        <v>0</v>
      </c>
      <c r="Q151" s="112">
        <f>'Cash Flow %s Yr1'!Q151</f>
        <v>0</v>
      </c>
      <c r="R151" s="112">
        <f>'Cash Flow %s Yr1'!R151</f>
        <v>0</v>
      </c>
      <c r="S151" s="111">
        <f>SUM(D151:R151)</f>
        <v>0.99999999999999978</v>
      </c>
    </row>
    <row r="152" spans="1:24" s="31" customFormat="1" x14ac:dyDescent="0.2">
      <c r="A152" s="36"/>
      <c r="B152" s="66" t="str">
        <f>'Expenses Summary'!B107</f>
        <v>7010</v>
      </c>
      <c r="C152" s="66" t="str">
        <f>'Expenses Summary'!C107</f>
        <v>Special Education Encroachment</v>
      </c>
      <c r="D152" s="112">
        <f>'Cash Flow %s Yr1'!D152</f>
        <v>0</v>
      </c>
      <c r="E152" s="112">
        <f>'Cash Flow %s Yr1'!E152</f>
        <v>0</v>
      </c>
      <c r="F152" s="112">
        <f>'Cash Flow %s Yr1'!F152</f>
        <v>0</v>
      </c>
      <c r="G152" s="112">
        <f>'Cash Flow %s Yr1'!G152</f>
        <v>0</v>
      </c>
      <c r="H152" s="112">
        <f>'Cash Flow %s Yr1'!H152</f>
        <v>0</v>
      </c>
      <c r="I152" s="112">
        <f>'Cash Flow %s Yr1'!I152</f>
        <v>0</v>
      </c>
      <c r="J152" s="112">
        <f>'Cash Flow %s Yr1'!J152</f>
        <v>0</v>
      </c>
      <c r="K152" s="112">
        <f>'Cash Flow %s Yr1'!K152</f>
        <v>0</v>
      </c>
      <c r="L152" s="112">
        <f>'Cash Flow %s Yr1'!L152</f>
        <v>0</v>
      </c>
      <c r="M152" s="112">
        <f>'Cash Flow %s Yr1'!M152</f>
        <v>0</v>
      </c>
      <c r="N152" s="112">
        <f>'Cash Flow %s Yr1'!N152</f>
        <v>0</v>
      </c>
      <c r="O152" s="112">
        <f>'Cash Flow %s Yr1'!O152</f>
        <v>1</v>
      </c>
      <c r="P152" s="112">
        <f>'Cash Flow %s Yr1'!P152</f>
        <v>0</v>
      </c>
      <c r="Q152" s="112">
        <f>'Cash Flow %s Yr1'!Q152</f>
        <v>0</v>
      </c>
      <c r="R152" s="112">
        <f>'Cash Flow %s Yr1'!R152</f>
        <v>0</v>
      </c>
      <c r="S152" s="111">
        <f>SUM(D152:R152)</f>
        <v>1</v>
      </c>
    </row>
    <row r="153" spans="1:24" s="31" customFormat="1" x14ac:dyDescent="0.2">
      <c r="A153" s="36"/>
      <c r="B153" s="66" t="str">
        <f>'Expenses Summary'!B108</f>
        <v>7438</v>
      </c>
      <c r="C153" s="66" t="str">
        <f>'Expenses Summary'!C108</f>
        <v xml:space="preserve">Debt </v>
      </c>
      <c r="D153" s="112">
        <f>'Cash Flow %s Yr1'!D153</f>
        <v>0</v>
      </c>
      <c r="E153" s="112">
        <f>'Cash Flow %s Yr1'!E153</f>
        <v>0</v>
      </c>
      <c r="F153" s="112">
        <f>'Cash Flow %s Yr1'!F153</f>
        <v>0</v>
      </c>
      <c r="G153" s="112">
        <f>'Cash Flow %s Yr1'!G153</f>
        <v>0</v>
      </c>
      <c r="H153" s="112">
        <f>'Cash Flow %s Yr1'!H153</f>
        <v>0</v>
      </c>
      <c r="I153" s="112">
        <f>'Cash Flow %s Yr1'!I153</f>
        <v>0</v>
      </c>
      <c r="J153" s="112">
        <f>'Cash Flow %s Yr1'!J153</f>
        <v>0</v>
      </c>
      <c r="K153" s="112">
        <f>'Cash Flow %s Yr1'!K153</f>
        <v>0</v>
      </c>
      <c r="L153" s="112">
        <f>'Cash Flow %s Yr1'!L153</f>
        <v>0</v>
      </c>
      <c r="M153" s="112">
        <f>'Cash Flow %s Yr1'!M153</f>
        <v>0</v>
      </c>
      <c r="N153" s="112">
        <f>'Cash Flow %s Yr1'!N153</f>
        <v>0</v>
      </c>
      <c r="O153" s="112">
        <f>'Cash Flow %s Yr1'!O153</f>
        <v>1</v>
      </c>
      <c r="P153" s="112">
        <f>'Cash Flow %s Yr1'!P153</f>
        <v>0</v>
      </c>
      <c r="Q153" s="112">
        <f>'Cash Flow %s Yr1'!Q153</f>
        <v>0</v>
      </c>
      <c r="R153" s="112">
        <f>'Cash Flow %s Yr1'!R153</f>
        <v>0</v>
      </c>
      <c r="S153" s="111">
        <f>SUM(D153:R153)</f>
        <v>1</v>
      </c>
    </row>
    <row r="154" spans="1:24" s="31" customFormat="1" x14ac:dyDescent="0.2">
      <c r="A154" s="36"/>
      <c r="B154" s="66" t="str">
        <f>'Expenses Summary'!B109</f>
        <v>7500</v>
      </c>
      <c r="C154" s="66" t="str">
        <f>'Expenses Summary'!C109</f>
        <v>District Oversight Fee</v>
      </c>
      <c r="D154" s="112">
        <f>'Cash Flow %s Yr1'!D154</f>
        <v>0</v>
      </c>
      <c r="E154" s="112">
        <f>'Cash Flow %s Yr1'!E154</f>
        <v>0</v>
      </c>
      <c r="F154" s="112">
        <f>'Cash Flow %s Yr1'!F154</f>
        <v>0</v>
      </c>
      <c r="G154" s="112">
        <f>'Cash Flow %s Yr1'!G154</f>
        <v>0</v>
      </c>
      <c r="H154" s="112">
        <f>'Cash Flow %s Yr1'!H154</f>
        <v>0</v>
      </c>
      <c r="I154" s="112">
        <f>'Cash Flow %s Yr1'!I154</f>
        <v>0</v>
      </c>
      <c r="J154" s="112">
        <f>'Cash Flow %s Yr1'!J154</f>
        <v>0</v>
      </c>
      <c r="K154" s="112">
        <f>'Cash Flow %s Yr1'!K154</f>
        <v>0</v>
      </c>
      <c r="L154" s="112">
        <f>'Cash Flow %s Yr1'!L154</f>
        <v>0</v>
      </c>
      <c r="M154" s="112">
        <f>'Cash Flow %s Yr1'!M154</f>
        <v>0</v>
      </c>
      <c r="N154" s="112">
        <f>'Cash Flow %s Yr1'!N154</f>
        <v>0</v>
      </c>
      <c r="O154" s="112">
        <f>'Cash Flow %s Yr1'!O154</f>
        <v>1</v>
      </c>
      <c r="P154" s="112">
        <f>'Cash Flow %s Yr1'!P154</f>
        <v>0</v>
      </c>
      <c r="Q154" s="112">
        <f>'Cash Flow %s Yr1'!Q154</f>
        <v>0</v>
      </c>
      <c r="R154" s="112">
        <f>'Cash Flow %s Yr1'!R154</f>
        <v>0</v>
      </c>
      <c r="S154" s="111">
        <f>SUM(D154:R154)</f>
        <v>1</v>
      </c>
    </row>
    <row r="155" spans="1:24" s="31" customFormat="1" x14ac:dyDescent="0.2">
      <c r="A155" s="36"/>
      <c r="B155" s="40"/>
      <c r="C155" s="1"/>
      <c r="D155" s="105"/>
      <c r="E155" s="105"/>
      <c r="F155" s="105"/>
      <c r="G155" s="105"/>
      <c r="H155" s="105"/>
      <c r="I155" s="105"/>
      <c r="J155" s="105"/>
      <c r="K155" s="105"/>
      <c r="L155" s="105"/>
      <c r="M155" s="105"/>
      <c r="N155" s="105"/>
      <c r="O155" s="105"/>
      <c r="P155" s="105"/>
      <c r="Q155" s="105"/>
      <c r="R155" s="105"/>
      <c r="S155" s="111"/>
    </row>
    <row r="156" spans="1:24" s="31" customFormat="1" x14ac:dyDescent="0.2">
      <c r="A156" s="36"/>
      <c r="B156" s="40"/>
      <c r="C156" s="1"/>
      <c r="D156" s="95"/>
      <c r="E156" s="95"/>
      <c r="F156" s="95"/>
      <c r="G156" s="95"/>
      <c r="H156" s="95"/>
      <c r="I156" s="95"/>
      <c r="J156" s="95"/>
      <c r="K156" s="95"/>
      <c r="L156" s="95"/>
      <c r="M156" s="95"/>
      <c r="N156" s="95"/>
      <c r="O156" s="95"/>
      <c r="P156" s="95"/>
      <c r="Q156" s="95"/>
      <c r="R156" s="95"/>
      <c r="S156" s="111"/>
      <c r="T156" s="154"/>
    </row>
    <row r="157" spans="1:24" s="31" customFormat="1" x14ac:dyDescent="0.2">
      <c r="A157" s="36"/>
      <c r="B157" s="34" t="s">
        <v>824</v>
      </c>
      <c r="C157" s="3"/>
      <c r="D157" s="95"/>
      <c r="E157" s="104"/>
      <c r="F157" s="104"/>
      <c r="G157" s="95"/>
      <c r="H157" s="95"/>
      <c r="I157" s="95"/>
      <c r="J157" s="95"/>
      <c r="K157" s="95"/>
      <c r="L157" s="95"/>
      <c r="M157" s="95"/>
      <c r="N157" s="95"/>
      <c r="O157" s="95"/>
      <c r="P157" s="95"/>
      <c r="Q157" s="95"/>
      <c r="R157" s="95"/>
      <c r="S157" s="111"/>
    </row>
    <row r="158" spans="1:24" s="31" customFormat="1" x14ac:dyDescent="0.2">
      <c r="A158" s="36"/>
      <c r="B158" s="66"/>
      <c r="C158" s="135" t="s">
        <v>825</v>
      </c>
      <c r="D158" s="112">
        <f>'Cash Flow %s Yr1'!D158</f>
        <v>1</v>
      </c>
      <c r="E158" s="112">
        <f>'Cash Flow %s Yr1'!E158</f>
        <v>0</v>
      </c>
      <c r="F158" s="112">
        <f>'Cash Flow %s Yr1'!F158</f>
        <v>0</v>
      </c>
      <c r="G158" s="112">
        <f>'Cash Flow %s Yr1'!G158</f>
        <v>0</v>
      </c>
      <c r="H158" s="112">
        <f>'Cash Flow %s Yr1'!H158</f>
        <v>0</v>
      </c>
      <c r="I158" s="112">
        <f>'Cash Flow %s Yr1'!I158</f>
        <v>0</v>
      </c>
      <c r="J158" s="112">
        <f>'Cash Flow %s Yr1'!J158</f>
        <v>0</v>
      </c>
      <c r="K158" s="112">
        <f>'Cash Flow %s Yr1'!K158</f>
        <v>0</v>
      </c>
      <c r="L158" s="112">
        <f>'Cash Flow %s Yr1'!L158</f>
        <v>0</v>
      </c>
      <c r="M158" s="112">
        <f>'Cash Flow %s Yr1'!M158</f>
        <v>0</v>
      </c>
      <c r="N158" s="112">
        <f>'Cash Flow %s Yr1'!N158</f>
        <v>0</v>
      </c>
      <c r="O158" s="112">
        <f>'Cash Flow %s Yr1'!O158</f>
        <v>0</v>
      </c>
      <c r="P158" s="112">
        <f>'Cash Flow %s Yr1'!P158</f>
        <v>0</v>
      </c>
      <c r="Q158" s="112">
        <f>'Cash Flow %s Yr1'!Q158</f>
        <v>0</v>
      </c>
      <c r="R158" s="112">
        <f>'Cash Flow %s Yr1'!R158</f>
        <v>0</v>
      </c>
      <c r="S158" s="111">
        <f>SUM(D158:R158)</f>
        <v>1</v>
      </c>
      <c r="T158" s="149"/>
      <c r="U158" s="149"/>
      <c r="V158" s="149"/>
      <c r="W158" s="149"/>
      <c r="X158" s="149"/>
    </row>
    <row r="159" spans="1:24" s="31" customFormat="1" x14ac:dyDescent="0.2">
      <c r="A159" s="36"/>
      <c r="B159" s="66"/>
      <c r="C159" s="135" t="s">
        <v>826</v>
      </c>
      <c r="D159" s="112">
        <f>'Cash Flow %s Yr1'!D159</f>
        <v>0.6</v>
      </c>
      <c r="E159" s="112">
        <f>'Cash Flow %s Yr1'!E159</f>
        <v>0.25</v>
      </c>
      <c r="F159" s="112">
        <f>'Cash Flow %s Yr1'!F159</f>
        <v>0.1</v>
      </c>
      <c r="G159" s="112">
        <f>'Cash Flow %s Yr1'!G159</f>
        <v>0</v>
      </c>
      <c r="H159" s="112">
        <f>'Cash Flow %s Yr1'!H159</f>
        <v>0</v>
      </c>
      <c r="I159" s="112">
        <f>'Cash Flow %s Yr1'!I159</f>
        <v>0</v>
      </c>
      <c r="J159" s="112">
        <f>'Cash Flow %s Yr1'!J159</f>
        <v>0</v>
      </c>
      <c r="K159" s="112">
        <f>'Cash Flow %s Yr1'!K159</f>
        <v>0</v>
      </c>
      <c r="L159" s="112">
        <f>'Cash Flow %s Yr1'!L159</f>
        <v>0</v>
      </c>
      <c r="M159" s="112">
        <f>'Cash Flow %s Yr1'!M159</f>
        <v>0</v>
      </c>
      <c r="N159" s="112">
        <f>'Cash Flow %s Yr1'!N159</f>
        <v>0</v>
      </c>
      <c r="O159" s="112">
        <f>'Cash Flow %s Yr1'!O159</f>
        <v>0</v>
      </c>
      <c r="P159" s="112">
        <f>'Cash Flow %s Yr1'!P159</f>
        <v>0</v>
      </c>
      <c r="Q159" s="112">
        <f>'Cash Flow %s Yr1'!Q159</f>
        <v>0</v>
      </c>
      <c r="R159" s="112">
        <f>'Cash Flow %s Yr1'!R159</f>
        <v>0</v>
      </c>
      <c r="S159" s="111">
        <f>SUM(D159:R159)</f>
        <v>0.95</v>
      </c>
      <c r="T159" s="149"/>
      <c r="U159" s="149"/>
      <c r="V159" s="149"/>
      <c r="W159" s="149"/>
      <c r="X159" s="149"/>
    </row>
    <row r="160" spans="1:24" s="31" customFormat="1" x14ac:dyDescent="0.2">
      <c r="A160" s="36"/>
      <c r="B160" s="66"/>
      <c r="C160" s="135" t="s">
        <v>827</v>
      </c>
      <c r="D160" s="112">
        <f>'Cash Flow %s Yr1'!D160</f>
        <v>0.5</v>
      </c>
      <c r="E160" s="112">
        <f>'Cash Flow %s Yr1'!E160</f>
        <v>0.2</v>
      </c>
      <c r="F160" s="112">
        <f>'Cash Flow %s Yr1'!F160</f>
        <v>0</v>
      </c>
      <c r="G160" s="112">
        <f>'Cash Flow %s Yr1'!G160</f>
        <v>0</v>
      </c>
      <c r="H160" s="112">
        <f>'Cash Flow %s Yr1'!H160</f>
        <v>0</v>
      </c>
      <c r="I160" s="112">
        <f>'Cash Flow %s Yr1'!I160</f>
        <v>0</v>
      </c>
      <c r="J160" s="112">
        <f>'Cash Flow %s Yr1'!J160</f>
        <v>0</v>
      </c>
      <c r="K160" s="112">
        <f>'Cash Flow %s Yr1'!K160</f>
        <v>0</v>
      </c>
      <c r="L160" s="112">
        <f>'Cash Flow %s Yr1'!L160</f>
        <v>0</v>
      </c>
      <c r="M160" s="112">
        <f>'Cash Flow %s Yr1'!M160</f>
        <v>0</v>
      </c>
      <c r="N160" s="112">
        <f>'Cash Flow %s Yr1'!N160</f>
        <v>0</v>
      </c>
      <c r="O160" s="112">
        <f>'Cash Flow %s Yr1'!O160</f>
        <v>0</v>
      </c>
      <c r="P160" s="112">
        <f>'Cash Flow %s Yr1'!P160</f>
        <v>0</v>
      </c>
      <c r="Q160" s="112">
        <f>'Cash Flow %s Yr1'!Q160</f>
        <v>0</v>
      </c>
      <c r="R160" s="112">
        <f>'Cash Flow %s Yr1'!R160</f>
        <v>0</v>
      </c>
      <c r="S160" s="111">
        <f>SUM(D160:R160)</f>
        <v>0.7</v>
      </c>
      <c r="T160" s="149"/>
      <c r="U160" s="149"/>
      <c r="V160" s="149"/>
      <c r="W160" s="149"/>
      <c r="X160" s="149"/>
    </row>
    <row r="161" spans="1:24" s="40" customFormat="1" x14ac:dyDescent="0.2">
      <c r="A161" s="36"/>
      <c r="B161" s="66"/>
      <c r="C161" s="135" t="s">
        <v>828</v>
      </c>
      <c r="D161" s="112">
        <f>'Cash Flow %s Yr1'!D161</f>
        <v>0</v>
      </c>
      <c r="E161" s="112">
        <f>'Cash Flow %s Yr1'!E161</f>
        <v>0</v>
      </c>
      <c r="F161" s="112">
        <f>'Cash Flow %s Yr1'!F161</f>
        <v>0</v>
      </c>
      <c r="G161" s="112">
        <f>'Cash Flow %s Yr1'!G161</f>
        <v>0</v>
      </c>
      <c r="H161" s="112">
        <f>'Cash Flow %s Yr1'!H161</f>
        <v>0</v>
      </c>
      <c r="I161" s="112">
        <f>'Cash Flow %s Yr1'!I161</f>
        <v>0</v>
      </c>
      <c r="J161" s="112">
        <f>'Cash Flow %s Yr1'!J161</f>
        <v>0</v>
      </c>
      <c r="K161" s="112">
        <f>'Cash Flow %s Yr1'!K161</f>
        <v>0</v>
      </c>
      <c r="L161" s="112">
        <f>'Cash Flow %s Yr1'!L161</f>
        <v>0</v>
      </c>
      <c r="M161" s="112">
        <f>'Cash Flow %s Yr1'!M161</f>
        <v>0</v>
      </c>
      <c r="N161" s="112">
        <f>'Cash Flow %s Yr1'!N161</f>
        <v>0</v>
      </c>
      <c r="O161" s="112">
        <f>'Cash Flow %s Yr1'!O161</f>
        <v>1</v>
      </c>
      <c r="P161" s="112">
        <f>'Cash Flow %s Yr1'!P161</f>
        <v>0</v>
      </c>
      <c r="Q161" s="112">
        <f>'Cash Flow %s Yr1'!Q161</f>
        <v>0</v>
      </c>
      <c r="R161" s="112">
        <f>'Cash Flow %s Yr1'!R161</f>
        <v>0</v>
      </c>
      <c r="S161" s="111">
        <f>SUM(D161:R161)</f>
        <v>1</v>
      </c>
      <c r="T161" s="149"/>
      <c r="U161" s="149"/>
      <c r="V161" s="149"/>
      <c r="W161" s="149"/>
      <c r="X161" s="149"/>
    </row>
    <row r="162" spans="1:24" s="40" customFormat="1" x14ac:dyDescent="0.2">
      <c r="A162" s="36"/>
      <c r="C162" s="1"/>
      <c r="D162" s="95"/>
      <c r="E162" s="95"/>
      <c r="F162" s="95"/>
      <c r="G162" s="95"/>
      <c r="H162" s="95"/>
      <c r="I162" s="95"/>
      <c r="J162" s="95"/>
      <c r="K162" s="95"/>
      <c r="L162" s="95"/>
      <c r="M162" s="95"/>
      <c r="N162" s="95"/>
      <c r="O162" s="95"/>
      <c r="P162" s="95"/>
      <c r="Q162" s="95"/>
      <c r="R162" s="95"/>
      <c r="S162" s="182"/>
    </row>
    <row r="163" spans="1:24" s="40" customFormat="1" x14ac:dyDescent="0.2">
      <c r="A163" s="36"/>
      <c r="C163" s="1"/>
      <c r="D163" s="95"/>
      <c r="E163" s="95"/>
      <c r="F163" s="95"/>
      <c r="G163" s="95"/>
      <c r="H163" s="95"/>
      <c r="I163" s="95"/>
      <c r="J163" s="95"/>
      <c r="K163" s="95"/>
      <c r="L163" s="95"/>
      <c r="M163" s="95"/>
      <c r="N163" s="95"/>
      <c r="O163" s="95"/>
      <c r="P163" s="95"/>
      <c r="Q163" s="95"/>
      <c r="R163" s="95"/>
      <c r="S163" s="182"/>
    </row>
    <row r="164" spans="1:24" s="40" customFormat="1" x14ac:dyDescent="0.2">
      <c r="A164" s="36"/>
      <c r="C164" s="1"/>
      <c r="D164" s="95"/>
      <c r="E164" s="95"/>
      <c r="F164" s="95"/>
      <c r="G164" s="95"/>
      <c r="H164" s="95"/>
      <c r="I164" s="95"/>
      <c r="J164" s="95"/>
      <c r="K164" s="95"/>
      <c r="L164" s="95"/>
      <c r="M164" s="95"/>
      <c r="N164" s="95"/>
      <c r="O164" s="95"/>
      <c r="P164" s="95"/>
      <c r="Q164" s="95"/>
      <c r="R164" s="95"/>
      <c r="S164" s="182"/>
    </row>
    <row r="165" spans="1:24" s="40" customFormat="1" x14ac:dyDescent="0.2">
      <c r="A165" s="36"/>
      <c r="C165" s="1"/>
      <c r="D165" s="95"/>
      <c r="E165" s="95"/>
      <c r="F165" s="95"/>
      <c r="G165" s="95"/>
      <c r="H165" s="95"/>
      <c r="I165" s="95"/>
      <c r="J165" s="95"/>
      <c r="K165" s="95"/>
      <c r="L165" s="95"/>
      <c r="M165" s="95"/>
      <c r="N165" s="95"/>
      <c r="O165" s="95"/>
      <c r="P165" s="95"/>
      <c r="Q165" s="95"/>
      <c r="R165" s="95"/>
      <c r="S165" s="182"/>
    </row>
    <row r="166" spans="1:24" s="40" customFormat="1" x14ac:dyDescent="0.2">
      <c r="A166" s="36"/>
      <c r="C166" s="1"/>
      <c r="D166" s="95"/>
      <c r="E166" s="95"/>
      <c r="F166" s="95"/>
      <c r="G166" s="95"/>
      <c r="H166" s="95"/>
      <c r="I166" s="95"/>
      <c r="J166" s="95"/>
      <c r="K166" s="95"/>
      <c r="L166" s="95"/>
      <c r="M166" s="95"/>
      <c r="N166" s="95"/>
      <c r="O166" s="95"/>
      <c r="P166" s="95"/>
      <c r="Q166" s="95"/>
      <c r="R166" s="95"/>
      <c r="S166" s="182"/>
    </row>
    <row r="167" spans="1:24" s="40" customFormat="1" x14ac:dyDescent="0.2">
      <c r="A167" s="36"/>
      <c r="C167" s="1"/>
      <c r="D167" s="95"/>
      <c r="E167" s="95"/>
      <c r="F167" s="95"/>
      <c r="G167" s="95"/>
      <c r="H167" s="95"/>
      <c r="I167" s="95"/>
      <c r="J167" s="95"/>
      <c r="K167" s="95"/>
      <c r="L167" s="95"/>
      <c r="M167" s="95"/>
      <c r="N167" s="95"/>
      <c r="O167" s="95"/>
      <c r="P167" s="95"/>
      <c r="Q167" s="95"/>
      <c r="R167" s="95"/>
      <c r="S167" s="182"/>
    </row>
    <row r="168" spans="1:24" s="40" customFormat="1" x14ac:dyDescent="0.2">
      <c r="A168" s="36"/>
      <c r="C168" s="1"/>
      <c r="D168" s="95"/>
      <c r="E168" s="95"/>
      <c r="F168" s="95"/>
      <c r="G168" s="95"/>
      <c r="H168" s="95"/>
      <c r="I168" s="95"/>
      <c r="J168" s="95"/>
      <c r="K168" s="95"/>
      <c r="L168" s="95"/>
      <c r="M168" s="95"/>
      <c r="N168" s="95"/>
      <c r="O168" s="95"/>
      <c r="P168" s="95"/>
      <c r="Q168" s="95"/>
      <c r="R168" s="95"/>
      <c r="S168" s="182"/>
    </row>
    <row r="169" spans="1:24" s="40" customFormat="1" x14ac:dyDescent="0.2">
      <c r="A169" s="36"/>
      <c r="C169" s="1"/>
      <c r="D169" s="95"/>
      <c r="E169" s="95"/>
      <c r="F169" s="95"/>
      <c r="G169" s="95"/>
      <c r="H169" s="95"/>
      <c r="I169" s="95"/>
      <c r="J169" s="95"/>
      <c r="K169" s="95"/>
      <c r="L169" s="95"/>
      <c r="M169" s="95"/>
      <c r="N169" s="95"/>
      <c r="O169" s="95"/>
      <c r="P169" s="95"/>
      <c r="Q169" s="95"/>
      <c r="R169" s="95"/>
      <c r="S169" s="182"/>
    </row>
    <row r="170" spans="1:24" x14ac:dyDescent="0.2">
      <c r="S170" s="182"/>
    </row>
    <row r="171" spans="1:24" x14ac:dyDescent="0.2">
      <c r="S171" s="182"/>
    </row>
    <row r="172" spans="1:24" x14ac:dyDescent="0.2">
      <c r="S172" s="182"/>
    </row>
    <row r="173" spans="1:24" x14ac:dyDescent="0.2">
      <c r="S173" s="182"/>
    </row>
  </sheetData>
  <pageMargins left="0.25" right="0.25" top="0.5" bottom="0.5" header="0.25" footer="0.25"/>
  <pageSetup scale="58" fitToHeight="3" orientation="landscape" r:id="rId1"/>
  <headerFooter alignWithMargins="0">
    <oddHeader>&amp;A</oddHeader>
    <oddFooter>Page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249977111117893"/>
    <pageSetUpPr fitToPage="1"/>
  </sheetPr>
  <dimension ref="A1:S172"/>
  <sheetViews>
    <sheetView workbookViewId="0">
      <pane xSplit="3" ySplit="6" topLeftCell="I11"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12.5" style="95" customWidth="1"/>
    <col min="19" max="19" width="10.33203125" style="1" bestFit="1" customWidth="1"/>
    <col min="20"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19" ht="20" x14ac:dyDescent="0.2">
      <c r="A1" s="22" t="str">
        <f>'Student Info'!$A$1</f>
        <v>Three Rivers Charter School</v>
      </c>
    </row>
    <row r="2" spans="1:19" ht="18" x14ac:dyDescent="0.2">
      <c r="A2" s="21" t="s">
        <v>820</v>
      </c>
    </row>
    <row r="3" spans="1:19" ht="18" x14ac:dyDescent="0.2">
      <c r="A3" s="21" t="str">
        <f>'Student Info'!E7</f>
        <v>2016-17</v>
      </c>
    </row>
    <row r="5" spans="1:19" ht="18" x14ac:dyDescent="0.2">
      <c r="A5" s="29"/>
      <c r="B5" s="41"/>
      <c r="C5" s="29"/>
      <c r="D5" s="96"/>
      <c r="E5" s="96"/>
      <c r="F5" s="96"/>
      <c r="G5" s="96"/>
      <c r="H5" s="96"/>
      <c r="I5" s="96"/>
      <c r="J5" s="96"/>
      <c r="K5" s="96"/>
      <c r="L5" s="96"/>
      <c r="M5" s="96"/>
      <c r="N5" s="96"/>
      <c r="O5" s="96"/>
      <c r="P5" s="96"/>
      <c r="Q5" s="96"/>
      <c r="R5" s="96"/>
    </row>
    <row r="6" spans="1:19"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19" ht="18" x14ac:dyDescent="0.2">
      <c r="A7" s="47" t="s">
        <v>794</v>
      </c>
      <c r="B7" s="87"/>
      <c r="D7" s="31"/>
      <c r="F7" s="97"/>
      <c r="G7" s="97"/>
      <c r="H7" s="97"/>
      <c r="I7" s="31"/>
      <c r="J7" s="31"/>
      <c r="K7" s="97"/>
      <c r="L7" s="97"/>
      <c r="M7" s="97"/>
      <c r="N7" s="97"/>
      <c r="O7" s="97"/>
      <c r="P7" s="97"/>
      <c r="Q7" s="97"/>
      <c r="R7" s="97"/>
    </row>
    <row r="8" spans="1:19" ht="18" hidden="1" x14ac:dyDescent="0.2">
      <c r="A8" s="47"/>
      <c r="B8" s="87"/>
      <c r="C8" s="125" t="s">
        <v>821</v>
      </c>
      <c r="D8" s="110"/>
      <c r="F8" s="97"/>
      <c r="G8" s="97"/>
      <c r="H8" s="97"/>
      <c r="I8" s="31"/>
      <c r="J8" s="31"/>
      <c r="K8" s="97"/>
      <c r="L8" s="97"/>
      <c r="M8" s="97"/>
      <c r="N8" s="97"/>
      <c r="O8" s="97"/>
      <c r="P8" s="97"/>
      <c r="Q8" s="97"/>
      <c r="R8" s="97"/>
    </row>
    <row r="9" spans="1:19" ht="18" hidden="1" x14ac:dyDescent="0.2">
      <c r="A9" s="47"/>
      <c r="B9" s="87"/>
      <c r="C9" s="89"/>
      <c r="D9" s="99"/>
      <c r="E9" s="114"/>
      <c r="F9" s="114"/>
      <c r="G9" s="114"/>
      <c r="H9" s="114"/>
      <c r="I9" s="114"/>
      <c r="J9" s="114"/>
      <c r="K9" s="114"/>
      <c r="L9" s="115"/>
      <c r="M9" s="114"/>
      <c r="N9" s="114"/>
      <c r="O9" s="115"/>
      <c r="P9" s="114"/>
      <c r="Q9" s="112"/>
      <c r="R9" s="112"/>
      <c r="S9" s="111"/>
    </row>
    <row r="10" spans="1:19" ht="18" hidden="1" x14ac:dyDescent="0.2">
      <c r="A10" s="47"/>
      <c r="B10" s="87"/>
      <c r="C10" s="89"/>
      <c r="D10" s="99"/>
      <c r="E10" s="116"/>
      <c r="F10" s="116"/>
      <c r="G10" s="114"/>
      <c r="H10" s="116"/>
      <c r="I10" s="116"/>
      <c r="J10" s="114"/>
      <c r="K10" s="116"/>
      <c r="L10" s="115"/>
      <c r="M10" s="117"/>
      <c r="N10" s="117"/>
      <c r="O10" s="117"/>
      <c r="P10" s="118"/>
      <c r="Q10" s="99"/>
      <c r="R10" s="112"/>
      <c r="S10" s="111"/>
    </row>
    <row r="11" spans="1:19" s="31" customFormat="1" ht="18" x14ac:dyDescent="0.2">
      <c r="B11" s="70" t="s">
        <v>779</v>
      </c>
      <c r="C11" s="49"/>
      <c r="D11" s="98"/>
      <c r="E11" s="98"/>
      <c r="F11" s="98"/>
      <c r="G11" s="98"/>
      <c r="H11" s="98"/>
      <c r="I11" s="98"/>
      <c r="J11" s="98"/>
      <c r="K11" s="98"/>
      <c r="L11" s="98"/>
      <c r="M11" s="98"/>
      <c r="N11" s="98"/>
      <c r="O11" s="98"/>
      <c r="P11" s="98"/>
      <c r="Q11" s="98"/>
      <c r="R11" s="98"/>
    </row>
    <row r="12" spans="1:19" s="31" customFormat="1" x14ac:dyDescent="0.2">
      <c r="A12" s="50"/>
      <c r="B12" s="65" t="str">
        <f>'Revenue Input'!B8</f>
        <v>8011</v>
      </c>
      <c r="C12" s="65" t="str">
        <f>'Revenue Input'!C8</f>
        <v>LCFF for all grades; state aid portion</v>
      </c>
      <c r="D12" s="64">
        <f>IF('Revenue Input'!$E8="","",IF('Cash Flow %s Yr2'!D12="","",'Cash Flow %s Yr2'!D12*'Revenue Input'!$E8))</f>
        <v>0</v>
      </c>
      <c r="E12" s="64">
        <f>IF('Revenue Input'!$E8="","",IF('Cash Flow %s Yr2'!E12="","",'Cash Flow %s Yr2'!E12*'Revenue Input'!$E8))</f>
        <v>23154.353965396003</v>
      </c>
      <c r="F12" s="64">
        <f>IF('Revenue Input'!$E8="","",IF('Cash Flow %s Yr2'!F12="","",'Cash Flow %s Yr2'!F12*'Revenue Input'!$E8))</f>
        <v>23154.353965396003</v>
      </c>
      <c r="G12" s="64">
        <f>IF('Revenue Input'!$E8="","",IF('Cash Flow %s Yr2'!G12="","",'Cash Flow %s Yr2'!G12*'Revenue Input'!$E8))</f>
        <v>41677.837137712806</v>
      </c>
      <c r="H12" s="64">
        <f>IF('Revenue Input'!$E8="","",IF('Cash Flow %s Yr2'!H12="","",'Cash Flow %s Yr2'!H12*'Revenue Input'!$E8))</f>
        <v>41677.837137712806</v>
      </c>
      <c r="I12" s="64">
        <f>IF('Revenue Input'!$E8="","",IF('Cash Flow %s Yr2'!I12="","",'Cash Flow %s Yr2'!I12*'Revenue Input'!$E8))</f>
        <v>41677.837137712806</v>
      </c>
      <c r="J12" s="64">
        <f>IF('Revenue Input'!$E8="","",IF('Cash Flow %s Yr2'!J12="","",'Cash Flow %s Yr2'!J12*'Revenue Input'!$E8))</f>
        <v>41677.837137712806</v>
      </c>
      <c r="K12" s="64">
        <f>IF('Revenue Input'!$E8="","",IF('Cash Flow %s Yr2'!K12="","",'Cash Flow %s Yr2'!K12*'Revenue Input'!$E8))</f>
        <v>41677.837137712806</v>
      </c>
      <c r="L12" s="64">
        <f>IF('Revenue Input'!$E8="","",IF('Cash Flow %s Yr2'!L12="","",'Cash Flow %s Yr2'!L12*'Revenue Input'!$E8))</f>
        <v>41677.837137712806</v>
      </c>
      <c r="M12" s="64">
        <f>IF('Revenue Input'!$E8="","",IF('Cash Flow %s Yr2'!M12="","",'Cash Flow %s Yr2'!M12*'Revenue Input'!$E8))</f>
        <v>41677.837137712806</v>
      </c>
      <c r="N12" s="64">
        <f>IF('Revenue Input'!$E8="","",IF('Cash Flow %s Yr2'!N12="","",'Cash Flow %s Yr2'!N12*'Revenue Input'!$E8))</f>
        <v>41677.837137712806</v>
      </c>
      <c r="O12" s="64">
        <f>IF('Revenue Input'!$E8="","",IF('Cash Flow %s Yr2'!O12="","",'Cash Flow %s Yr2'!O12*'Revenue Input'!$E8))</f>
        <v>41677.837137712806</v>
      </c>
      <c r="P12" s="64">
        <f>IF('Revenue Input'!$E8="","",IF('Cash Flow %s Yr2'!P12="","",'Cash Flow %s Yr2'!P12*'Revenue Input'!$E8))</f>
        <v>41677.837137712806</v>
      </c>
      <c r="Q12" s="64">
        <f>IF('Revenue Input'!$E8="","",IF('Cash Flow %s Yr2'!Q12="","",'Cash Flow %s Yr2'!Q12*'Revenue Input'!$E8))</f>
        <v>48948.304282847152</v>
      </c>
      <c r="R12" s="64">
        <f>IF('Revenue Input'!$E8="","",IF('Cash Flow %s Yr2'!R12="","",'Cash Flow %s Yr2'!R12*'Revenue Input'!$E8))</f>
        <v>0</v>
      </c>
      <c r="S12" s="111">
        <f>IF(SUM(D12:R12)&gt;0,SUM(D12:R12)/'Revenue Input'!$E8,"")</f>
        <v>1.1056999999999999</v>
      </c>
    </row>
    <row r="13" spans="1:19" s="31" customFormat="1" x14ac:dyDescent="0.2">
      <c r="A13" s="50"/>
      <c r="B13" s="65" t="str">
        <f>'Revenue Input'!B9</f>
        <v>8012</v>
      </c>
      <c r="C13" s="65" t="str">
        <f>'Revenue Input'!C9</f>
        <v>LCFF for all grades; EPA portion</v>
      </c>
      <c r="D13" s="64">
        <f>IF('Revenue Input'!$E9="","",IF('Cash Flow %s Yr2'!D13="","",'Cash Flow %s Yr2'!D13*'Revenue Input'!$E9))</f>
        <v>0</v>
      </c>
      <c r="E13" s="64">
        <f>IF('Revenue Input'!$E9="","",IF('Cash Flow %s Yr2'!E13="","",'Cash Flow %s Yr2'!E13*'Revenue Input'!$E9))</f>
        <v>0</v>
      </c>
      <c r="F13" s="64">
        <f>IF('Revenue Input'!$E9="","",IF('Cash Flow %s Yr2'!F13="","",'Cash Flow %s Yr2'!F13*'Revenue Input'!$E9))</f>
        <v>0</v>
      </c>
      <c r="G13" s="64">
        <f>IF('Revenue Input'!$E9="","",IF('Cash Flow %s Yr2'!G13="","",'Cash Flow %s Yr2'!G13*'Revenue Input'!$E9))</f>
        <v>37538.875</v>
      </c>
      <c r="H13" s="64">
        <f>IF('Revenue Input'!$E9="","",IF('Cash Flow %s Yr2'!H13="","",'Cash Flow %s Yr2'!H13*'Revenue Input'!$E9))</f>
        <v>0</v>
      </c>
      <c r="I13" s="64">
        <f>IF('Revenue Input'!$E9="","",IF('Cash Flow %s Yr2'!I13="","",'Cash Flow %s Yr2'!I13*'Revenue Input'!$E9))</f>
        <v>0</v>
      </c>
      <c r="J13" s="64">
        <f>IF('Revenue Input'!$E9="","",IF('Cash Flow %s Yr2'!J13="","",'Cash Flow %s Yr2'!J13*'Revenue Input'!$E9))</f>
        <v>37538.875</v>
      </c>
      <c r="K13" s="64">
        <f>IF('Revenue Input'!$E9="","",IF('Cash Flow %s Yr2'!K13="","",'Cash Flow %s Yr2'!K13*'Revenue Input'!$E9))</f>
        <v>0</v>
      </c>
      <c r="L13" s="64">
        <f>IF('Revenue Input'!$E9="","",IF('Cash Flow %s Yr2'!L13="","",'Cash Flow %s Yr2'!L13*'Revenue Input'!$E9))</f>
        <v>0</v>
      </c>
      <c r="M13" s="64">
        <f>IF('Revenue Input'!$E9="","",IF('Cash Flow %s Yr2'!M13="","",'Cash Flow %s Yr2'!M13*'Revenue Input'!$E9))</f>
        <v>37538.875</v>
      </c>
      <c r="N13" s="64">
        <f>IF('Revenue Input'!$E9="","",IF('Cash Flow %s Yr2'!N13="","",'Cash Flow %s Yr2'!N13*'Revenue Input'!$E9))</f>
        <v>0</v>
      </c>
      <c r="O13" s="64">
        <f>IF('Revenue Input'!$E9="","",IF('Cash Flow %s Yr2'!O13="","",'Cash Flow %s Yr2'!O13*'Revenue Input'!$E9))</f>
        <v>0</v>
      </c>
      <c r="P13" s="64">
        <f>IF('Revenue Input'!$E9="","",IF('Cash Flow %s Yr2'!P13="","",'Cash Flow %s Yr2'!P13*'Revenue Input'!$E9))</f>
        <v>37538.875</v>
      </c>
      <c r="Q13" s="64">
        <f>IF('Revenue Input'!$E9="","",IF('Cash Flow %s Yr2'!Q13="","",'Cash Flow %s Yr2'!Q13*'Revenue Input'!$E9))</f>
        <v>0</v>
      </c>
      <c r="R13" s="64">
        <f>IF('Revenue Input'!$E9="","",IF('Cash Flow %s Yr2'!R13="","",'Cash Flow %s Yr2'!R13*'Revenue Input'!$E9))</f>
        <v>0</v>
      </c>
      <c r="S13" s="111">
        <f>IF(SUM(D13:R13)&gt;0,SUM(D13:R13)/'Revenue Input'!$E9,"")</f>
        <v>1</v>
      </c>
    </row>
    <row r="14" spans="1:19" s="31" customFormat="1" x14ac:dyDescent="0.2">
      <c r="A14" s="50"/>
      <c r="B14" s="65" t="str">
        <f>'Revenue Input'!B10</f>
        <v>8096</v>
      </c>
      <c r="C14" s="65" t="str">
        <f>'Revenue Input'!C10</f>
        <v>In-Lieu of Property Taxes, all grades</v>
      </c>
      <c r="D14" s="64">
        <f>IF('Revenue Input'!$E10="","",IF('Cash Flow %s Yr2'!D14="","",'Cash Flow %s Yr2'!D14*'Revenue Input'!$E10))</f>
        <v>0</v>
      </c>
      <c r="E14" s="64">
        <f>IF('Revenue Input'!$E10="","",IF('Cash Flow %s Yr2'!E14="","",'Cash Flow %s Yr2'!E14*'Revenue Input'!$E10))</f>
        <v>40947.896459999996</v>
      </c>
      <c r="F14" s="64">
        <f>IF('Revenue Input'!$E10="","",IF('Cash Flow %s Yr2'!F14="","",'Cash Flow %s Yr2'!F14*'Revenue Input'!$E10))</f>
        <v>27298.59764</v>
      </c>
      <c r="G14" s="64">
        <f>IF('Revenue Input'!$E10="","",IF('Cash Flow %s Yr2'!G14="","",'Cash Flow %s Yr2'!G14*'Revenue Input'!$E10))</f>
        <v>27298.59764</v>
      </c>
      <c r="H14" s="64">
        <f>IF('Revenue Input'!$E10="","",IF('Cash Flow %s Yr2'!H14="","",'Cash Flow %s Yr2'!H14*'Revenue Input'!$E10))</f>
        <v>27298.59764</v>
      </c>
      <c r="I14" s="64">
        <f>IF('Revenue Input'!$E10="","",IF('Cash Flow %s Yr2'!I14="","",'Cash Flow %s Yr2'!I14*'Revenue Input'!$E10))</f>
        <v>27298.59764</v>
      </c>
      <c r="J14" s="64">
        <f>IF('Revenue Input'!$E10="","",IF('Cash Flow %s Yr2'!J14="","",'Cash Flow %s Yr2'!J14*'Revenue Input'!$E10))</f>
        <v>27298.59764</v>
      </c>
      <c r="K14" s="64">
        <f>IF('Revenue Input'!$E10="","",IF('Cash Flow %s Yr2'!K14="","",'Cash Flow %s Yr2'!K14*'Revenue Input'!$E10))</f>
        <v>47772.545870000002</v>
      </c>
      <c r="L14" s="64">
        <f>IF('Revenue Input'!$E10="","",IF('Cash Flow %s Yr2'!L14="","",'Cash Flow %s Yr2'!L14*'Revenue Input'!$E10))</f>
        <v>23886.272935000001</v>
      </c>
      <c r="M14" s="64">
        <f>IF('Revenue Input'!$E10="","",IF('Cash Flow %s Yr2'!M14="","",'Cash Flow %s Yr2'!M14*'Revenue Input'!$E10))</f>
        <v>23886.272935000001</v>
      </c>
      <c r="N14" s="64">
        <f>IF('Revenue Input'!$E10="","",IF('Cash Flow %s Yr2'!N14="","",'Cash Flow %s Yr2'!N14*'Revenue Input'!$E10))</f>
        <v>23886.272935000001</v>
      </c>
      <c r="O14" s="64">
        <f>IF('Revenue Input'!$E10="","",IF('Cash Flow %s Yr2'!O14="","",'Cash Flow %s Yr2'!O14*'Revenue Input'!$E10))</f>
        <v>23886.272935000001</v>
      </c>
      <c r="P14" s="64">
        <f>IF('Revenue Input'!$E10="","",IF('Cash Flow %s Yr2'!P14="","",'Cash Flow %s Yr2'!P14*'Revenue Input'!$E10))</f>
        <v>0</v>
      </c>
      <c r="Q14" s="64">
        <f>IF('Revenue Input'!$E10="","",IF('Cash Flow %s Yr2'!Q14="","",'Cash Flow %s Yr2'!Q14*'Revenue Input'!$E10))</f>
        <v>0</v>
      </c>
      <c r="R14" s="64">
        <f>IF('Revenue Input'!$E10="","",IF('Cash Flow %s Yr2'!R14="","",'Cash Flow %s Yr2'!R14*'Revenue Input'!$E10))</f>
        <v>0</v>
      </c>
      <c r="S14" s="111">
        <f>IF(SUM(D14:R14)&gt;0,SUM(D14:R14)/'Revenue Input'!$E10,"")</f>
        <v>0.94000000000000006</v>
      </c>
    </row>
    <row r="15" spans="1:19" s="31" customFormat="1" x14ac:dyDescent="0.2">
      <c r="A15" s="50"/>
      <c r="B15" s="65" t="str">
        <f>'Revenue Input'!B11</f>
        <v>8599</v>
      </c>
      <c r="C15" s="65" t="str">
        <f>'Revenue Input'!C11</f>
        <v>Prior Year Income / Adjustments</v>
      </c>
      <c r="D15" s="64">
        <f>'Cash Flow $s Yr1'!P160</f>
        <v>4943.9049999999997</v>
      </c>
      <c r="E15" s="64">
        <f>'Cash Flow $s Yr1'!Q160</f>
        <v>9575.4500000000007</v>
      </c>
      <c r="F15" s="64">
        <f>'Cash Flow $s Yr1'!R160</f>
        <v>0</v>
      </c>
      <c r="G15" s="64" t="str">
        <f>IF('Revenue Input'!$E11="","",IF('Cash Flow %s Yr2'!G15="","",'Cash Flow %s Yr2'!G15*'Revenue Input'!$E11))</f>
        <v/>
      </c>
      <c r="H15" s="64" t="str">
        <f>IF('Revenue Input'!$E11="","",IF('Cash Flow %s Yr2'!H15="","",'Cash Flow %s Yr2'!H15*'Revenue Input'!$E11))</f>
        <v/>
      </c>
      <c r="I15" s="64" t="str">
        <f>IF('Revenue Input'!$E11="","",IF('Cash Flow %s Yr2'!I15="","",'Cash Flow %s Yr2'!I15*'Revenue Input'!$E11))</f>
        <v/>
      </c>
      <c r="J15" s="64" t="str">
        <f>IF('Revenue Input'!$E11="","",IF('Cash Flow %s Yr2'!J15="","",'Cash Flow %s Yr2'!J15*'Revenue Input'!$E11))</f>
        <v/>
      </c>
      <c r="K15" s="64" t="str">
        <f>IF('Revenue Input'!$E11="","",IF('Cash Flow %s Yr2'!K15="","",'Cash Flow %s Yr2'!K15*'Revenue Input'!$E11))</f>
        <v/>
      </c>
      <c r="L15" s="64" t="str">
        <f>IF('Revenue Input'!$E11="","",IF('Cash Flow %s Yr2'!L15="","",'Cash Flow %s Yr2'!L15*'Revenue Input'!$E11))</f>
        <v/>
      </c>
      <c r="M15" s="64" t="str">
        <f>IF('Revenue Input'!$E11="","",IF('Cash Flow %s Yr2'!M15="","",'Cash Flow %s Yr2'!M15*'Revenue Input'!$E11))</f>
        <v/>
      </c>
      <c r="N15" s="64" t="str">
        <f>IF('Revenue Input'!$E11="","",IF('Cash Flow %s Yr2'!N15="","",'Cash Flow %s Yr2'!N15*'Revenue Input'!$E11))</f>
        <v/>
      </c>
      <c r="O15" s="64" t="str">
        <f>IF('Revenue Input'!$E11="","",IF('Cash Flow %s Yr2'!O15="","",'Cash Flow %s Yr2'!O15*'Revenue Input'!$E11))</f>
        <v/>
      </c>
      <c r="P15" s="64" t="str">
        <f>IF('Revenue Input'!$E11="","",IF('Cash Flow %s Yr2'!P15="","",'Cash Flow %s Yr2'!P15*'Revenue Input'!$E11))</f>
        <v/>
      </c>
      <c r="Q15" s="64" t="str">
        <f>IF('Revenue Input'!$E11="","",IF('Cash Flow %s Yr2'!Q15="","",'Cash Flow %s Yr2'!Q15*'Revenue Input'!$E11))</f>
        <v/>
      </c>
      <c r="R15" s="64" t="str">
        <f>IF('Revenue Input'!$E11="","",IF('Cash Flow %s Yr2'!R15="","",'Cash Flow %s Yr2'!R15*'Revenue Input'!$E11))</f>
        <v/>
      </c>
      <c r="S15" s="111" t="e">
        <f>IF(SUM(D15:R15)&gt;0,SUM(D15:R15)/'Revenue Input'!$E11,"")</f>
        <v>#DIV/0!</v>
      </c>
    </row>
    <row r="16" spans="1:19" s="31" customFormat="1" x14ac:dyDescent="0.2">
      <c r="A16" s="50"/>
      <c r="B16" s="65" t="str">
        <f>'Revenue Input'!B12</f>
        <v>8181</v>
      </c>
      <c r="C16" s="65" t="str">
        <f>'Revenue Input'!C12</f>
        <v>Special Education</v>
      </c>
      <c r="D16" s="64" t="str">
        <f>IF('Revenue Input'!$E12="","",IF('Cash Flow %s Yr2'!D16="","",'Cash Flow %s Yr2'!D16*'Revenue Input'!$E12))</f>
        <v/>
      </c>
      <c r="E16" s="64" t="str">
        <f>IF('Revenue Input'!$E12="","",IF('Cash Flow %s Yr2'!E16="","",'Cash Flow %s Yr2'!E16*'Revenue Input'!$E12))</f>
        <v/>
      </c>
      <c r="F16" s="64" t="str">
        <f>IF('Revenue Input'!$E12="","",IF('Cash Flow %s Yr2'!F16="","",'Cash Flow %s Yr2'!F16*'Revenue Input'!$E12))</f>
        <v/>
      </c>
      <c r="G16" s="64" t="str">
        <f>IF('Revenue Input'!$E12="","",IF('Cash Flow %s Yr2'!G16="","",'Cash Flow %s Yr2'!G16*'Revenue Input'!$E12))</f>
        <v/>
      </c>
      <c r="H16" s="64" t="str">
        <f>IF('Revenue Input'!$E12="","",IF('Cash Flow %s Yr2'!H16="","",'Cash Flow %s Yr2'!H16*'Revenue Input'!$E12))</f>
        <v/>
      </c>
      <c r="I16" s="64" t="str">
        <f>IF('Revenue Input'!$E12="","",IF('Cash Flow %s Yr2'!I16="","",'Cash Flow %s Yr2'!I16*'Revenue Input'!$E12))</f>
        <v/>
      </c>
      <c r="J16" s="64" t="str">
        <f>IF('Revenue Input'!$E12="","",IF('Cash Flow %s Yr2'!J16="","",'Cash Flow %s Yr2'!J16*'Revenue Input'!$E12))</f>
        <v/>
      </c>
      <c r="K16" s="64" t="str">
        <f>IF('Revenue Input'!$E12="","",IF('Cash Flow %s Yr2'!K16="","",'Cash Flow %s Yr2'!K16*'Revenue Input'!$E12))</f>
        <v/>
      </c>
      <c r="L16" s="64" t="str">
        <f>IF('Revenue Input'!$E12="","",IF('Cash Flow %s Yr2'!L16="","",'Cash Flow %s Yr2'!L16*'Revenue Input'!$E12))</f>
        <v/>
      </c>
      <c r="M16" s="64" t="str">
        <f>IF('Revenue Input'!$E12="","",IF('Cash Flow %s Yr2'!M16="","",'Cash Flow %s Yr2'!M16*'Revenue Input'!$E12))</f>
        <v/>
      </c>
      <c r="N16" s="64" t="str">
        <f>IF('Revenue Input'!$E12="","",IF('Cash Flow %s Yr2'!N16="","",'Cash Flow %s Yr2'!N16*'Revenue Input'!$E12))</f>
        <v/>
      </c>
      <c r="O16" s="64" t="str">
        <f>IF('Revenue Input'!$E12="","",IF('Cash Flow %s Yr2'!O16="","",'Cash Flow %s Yr2'!O16*'Revenue Input'!$E12))</f>
        <v/>
      </c>
      <c r="P16" s="64" t="str">
        <f>IF('Revenue Input'!$E12="","",IF('Cash Flow %s Yr2'!P16="","",'Cash Flow %s Yr2'!P16*'Revenue Input'!$E12))</f>
        <v/>
      </c>
      <c r="Q16" s="64" t="str">
        <f>IF('Revenue Input'!$E12="","",IF('Cash Flow %s Yr2'!Q16="","",'Cash Flow %s Yr2'!Q16*'Revenue Input'!$E12))</f>
        <v/>
      </c>
      <c r="R16" s="64" t="str">
        <f>IF('Revenue Input'!$E12="","",IF('Cash Flow %s Yr2'!R16="","",'Cash Flow %s Yr2'!R16*'Revenue Input'!$E12))</f>
        <v/>
      </c>
      <c r="S16" s="111" t="str">
        <f>IF(SUM(D16:R16)&gt;0,SUM(D16:R16)/'Revenue Input'!$E12,"")</f>
        <v/>
      </c>
    </row>
    <row r="17" spans="1:19" s="31" customFormat="1" x14ac:dyDescent="0.2">
      <c r="A17" s="50"/>
      <c r="B17" s="65" t="str">
        <f>'Revenue Input'!B13</f>
        <v>8560</v>
      </c>
      <c r="C17" s="65" t="str">
        <f>'Revenue Input'!C13</f>
        <v>Lottery</v>
      </c>
      <c r="D17" s="64">
        <f>IF('Revenue Input'!$E13="","",IF('Cash Flow %s Yr2'!D17="","",'Cash Flow %s Yr2'!D17*'Revenue Input'!$E13))</f>
        <v>0</v>
      </c>
      <c r="E17" s="64">
        <f>IF('Revenue Input'!$E13="","",IF('Cash Flow %s Yr2'!E17="","",'Cash Flow %s Yr2'!E17*'Revenue Input'!$E13))</f>
        <v>0</v>
      </c>
      <c r="F17" s="64">
        <f>IF('Revenue Input'!$E13="","",IF('Cash Flow %s Yr2'!F17="","",'Cash Flow %s Yr2'!F17*'Revenue Input'!$E13))</f>
        <v>0</v>
      </c>
      <c r="G17" s="64">
        <f>IF('Revenue Input'!$E13="","",IF('Cash Flow %s Yr2'!G17="","",'Cash Flow %s Yr2'!G17*'Revenue Input'!$E13))</f>
        <v>0</v>
      </c>
      <c r="H17" s="64">
        <f>IF('Revenue Input'!$E13="","",IF('Cash Flow %s Yr2'!H17="","",'Cash Flow %s Yr2'!H17*'Revenue Input'!$E13))</f>
        <v>0</v>
      </c>
      <c r="I17" s="64">
        <f>IF('Revenue Input'!$E13="","",IF('Cash Flow %s Yr2'!I17="","",'Cash Flow %s Yr2'!I17*'Revenue Input'!$E13))</f>
        <v>5060.3074999999999</v>
      </c>
      <c r="J17" s="64">
        <f>IF('Revenue Input'!$E13="","",IF('Cash Flow %s Yr2'!J17="","",'Cash Flow %s Yr2'!J17*'Revenue Input'!$E13))</f>
        <v>0</v>
      </c>
      <c r="K17" s="64">
        <f>IF('Revenue Input'!$E13="","",IF('Cash Flow %s Yr2'!K17="","",'Cash Flow %s Yr2'!K17*'Revenue Input'!$E13))</f>
        <v>5060.3074999999999</v>
      </c>
      <c r="L17" s="64">
        <f>IF('Revenue Input'!$E13="","",IF('Cash Flow %s Yr2'!L17="","",'Cash Flow %s Yr2'!L17*'Revenue Input'!$E13))</f>
        <v>0</v>
      </c>
      <c r="M17" s="64">
        <f>IF('Revenue Input'!$E13="","",IF('Cash Flow %s Yr2'!M17="","",'Cash Flow %s Yr2'!M17*'Revenue Input'!$E13))</f>
        <v>5060.3074999999999</v>
      </c>
      <c r="N17" s="64">
        <f>IF('Revenue Input'!$E13="","",IF('Cash Flow %s Yr2'!N17="","",'Cash Flow %s Yr2'!N17*'Revenue Input'!$E13))</f>
        <v>0</v>
      </c>
      <c r="O17" s="64">
        <f>IF('Revenue Input'!$E13="","",IF('Cash Flow %s Yr2'!O17="","",'Cash Flow %s Yr2'!O17*'Revenue Input'!$E13))</f>
        <v>0</v>
      </c>
      <c r="P17" s="64">
        <f>IF('Revenue Input'!$E13="","",IF('Cash Flow %s Yr2'!P17="","",'Cash Flow %s Yr2'!P17*'Revenue Input'!$E13))</f>
        <v>5060.3074999999999</v>
      </c>
      <c r="Q17" s="64">
        <f>IF('Revenue Input'!$E13="","",IF('Cash Flow %s Yr2'!Q17="","",'Cash Flow %s Yr2'!Q17*'Revenue Input'!$E13))</f>
        <v>0</v>
      </c>
      <c r="R17" s="64">
        <f>IF('Revenue Input'!$E13="","",IF('Cash Flow %s Yr2'!R17="","",'Cash Flow %s Yr2'!R17*'Revenue Input'!$E13))</f>
        <v>0</v>
      </c>
      <c r="S17" s="111">
        <f>IF(SUM(D17:R17)&gt;0,SUM(D17:R17)/'Revenue Input'!$E13,"")</f>
        <v>1</v>
      </c>
    </row>
    <row r="18" spans="1:19" s="31" customFormat="1" x14ac:dyDescent="0.2">
      <c r="A18" s="49"/>
      <c r="B18" s="65" t="str">
        <f>'Revenue Input'!B14</f>
        <v>8520</v>
      </c>
      <c r="C18" s="65" t="str">
        <f>'Revenue Input'!C14</f>
        <v>State Child Nutrition program</v>
      </c>
      <c r="D18" s="64" t="str">
        <f>IF('Revenue Input'!$E14="","",IF('Cash Flow %s Yr2'!D18="","",'Cash Flow %s Yr2'!D18*'Revenue Input'!$E14))</f>
        <v/>
      </c>
      <c r="E18" s="64" t="str">
        <f>IF('Revenue Input'!$E14="","",IF('Cash Flow %s Yr2'!E18="","",'Cash Flow %s Yr2'!E18*'Revenue Input'!$E14))</f>
        <v/>
      </c>
      <c r="F18" s="64" t="str">
        <f>IF('Revenue Input'!$E14="","",IF('Cash Flow %s Yr2'!F18="","",'Cash Flow %s Yr2'!F18*'Revenue Input'!$E14))</f>
        <v/>
      </c>
      <c r="G18" s="64" t="str">
        <f>IF('Revenue Input'!$E14="","",IF('Cash Flow %s Yr2'!G18="","",'Cash Flow %s Yr2'!G18*'Revenue Input'!$E14))</f>
        <v/>
      </c>
      <c r="H18" s="64" t="str">
        <f>IF('Revenue Input'!$E14="","",IF('Cash Flow %s Yr2'!H18="","",'Cash Flow %s Yr2'!H18*'Revenue Input'!$E14))</f>
        <v/>
      </c>
      <c r="I18" s="64" t="str">
        <f>IF('Revenue Input'!$E14="","",IF('Cash Flow %s Yr2'!I18="","",'Cash Flow %s Yr2'!I18*'Revenue Input'!$E14))</f>
        <v/>
      </c>
      <c r="J18" s="64" t="str">
        <f>IF('Revenue Input'!$E14="","",IF('Cash Flow %s Yr2'!J18="","",'Cash Flow %s Yr2'!J18*'Revenue Input'!$E14))</f>
        <v/>
      </c>
      <c r="K18" s="64" t="str">
        <f>IF('Revenue Input'!$E14="","",IF('Cash Flow %s Yr2'!K18="","",'Cash Flow %s Yr2'!K18*'Revenue Input'!$E14))</f>
        <v/>
      </c>
      <c r="L18" s="64" t="str">
        <f>IF('Revenue Input'!$E14="","",IF('Cash Flow %s Yr2'!L18="","",'Cash Flow %s Yr2'!L18*'Revenue Input'!$E14))</f>
        <v/>
      </c>
      <c r="M18" s="64" t="str">
        <f>IF('Revenue Input'!$E14="","",IF('Cash Flow %s Yr2'!M18="","",'Cash Flow %s Yr2'!M18*'Revenue Input'!$E14))</f>
        <v/>
      </c>
      <c r="N18" s="64" t="str">
        <f>IF('Revenue Input'!$E14="","",IF('Cash Flow %s Yr2'!N18="","",'Cash Flow %s Yr2'!N18*'Revenue Input'!$E14))</f>
        <v/>
      </c>
      <c r="O18" s="64" t="str">
        <f>IF('Revenue Input'!$E14="","",IF('Cash Flow %s Yr2'!O18="","",'Cash Flow %s Yr2'!O18*'Revenue Input'!$E14))</f>
        <v/>
      </c>
      <c r="P18" s="64" t="str">
        <f>IF('Revenue Input'!$E14="","",IF('Cash Flow %s Yr2'!P18="","",'Cash Flow %s Yr2'!P18*'Revenue Input'!$E14))</f>
        <v/>
      </c>
      <c r="Q18" s="64" t="str">
        <f>IF('Revenue Input'!$E14="","",IF('Cash Flow %s Yr2'!Q18="","",'Cash Flow %s Yr2'!Q18*'Revenue Input'!$E14))</f>
        <v/>
      </c>
      <c r="R18" s="64" t="str">
        <f>IF('Revenue Input'!$E14="","",IF('Cash Flow %s Yr2'!R18="","",'Cash Flow %s Yr2'!R18*'Revenue Input'!$E14))</f>
        <v/>
      </c>
      <c r="S18" s="111" t="str">
        <f>IF(SUM(D18:R18)&gt;0,SUM(D18:R18)/'Revenue Input'!$E14,"")</f>
        <v/>
      </c>
    </row>
    <row r="19" spans="1:19" s="31" customFormat="1" x14ac:dyDescent="0.2">
      <c r="A19" s="50"/>
      <c r="B19" s="65" t="str">
        <f>'Revenue Input'!B15</f>
        <v>8591</v>
      </c>
      <c r="C19" s="65" t="str">
        <f>'Revenue Input'!C15</f>
        <v>SB 740 Rent re-imbursement program</v>
      </c>
      <c r="D19" s="64">
        <f>IF('Revenue Input'!$E15="","",IF('Cash Flow %s Yr2'!D19="","",'Cash Flow %s Yr2'!D19*'Revenue Input'!$E15))</f>
        <v>0</v>
      </c>
      <c r="E19" s="64">
        <f>IF('Revenue Input'!$E15="","",IF('Cash Flow %s Yr2'!E19="","",'Cash Flow %s Yr2'!E19*'Revenue Input'!$E15))</f>
        <v>0</v>
      </c>
      <c r="F19" s="64">
        <f>IF('Revenue Input'!$E15="","",IF('Cash Flow %s Yr2'!F19="","",'Cash Flow %s Yr2'!F19*'Revenue Input'!$E15))</f>
        <v>0</v>
      </c>
      <c r="G19" s="64">
        <f>IF('Revenue Input'!$E15="","",IF('Cash Flow %s Yr2'!G19="","",'Cash Flow %s Yr2'!G19*'Revenue Input'!$E15))</f>
        <v>0</v>
      </c>
      <c r="H19" s="64">
        <f>IF('Revenue Input'!$E15="","",IF('Cash Flow %s Yr2'!H19="","",'Cash Flow %s Yr2'!H19*'Revenue Input'!$E15))</f>
        <v>9764.6624999999985</v>
      </c>
      <c r="I19" s="64">
        <f>IF('Revenue Input'!$E15="","",IF('Cash Flow %s Yr2'!I19="","",'Cash Flow %s Yr2'!I19*'Revenue Input'!$E15))</f>
        <v>0</v>
      </c>
      <c r="J19" s="64">
        <f>IF('Revenue Input'!$E15="","",IF('Cash Flow %s Yr2'!J19="","",'Cash Flow %s Yr2'!J19*'Revenue Input'!$E15))</f>
        <v>0</v>
      </c>
      <c r="K19" s="64">
        <f>IF('Revenue Input'!$E15="","",IF('Cash Flow %s Yr2'!K19="","",'Cash Flow %s Yr2'!K19*'Revenue Input'!$E15))</f>
        <v>9764.6624999999985</v>
      </c>
      <c r="L19" s="64">
        <f>IF('Revenue Input'!$E15="","",IF('Cash Flow %s Yr2'!L19="","",'Cash Flow %s Yr2'!L19*'Revenue Input'!$E15))</f>
        <v>0</v>
      </c>
      <c r="M19" s="64">
        <f>IF('Revenue Input'!$E15="","",IF('Cash Flow %s Yr2'!M19="","",'Cash Flow %s Yr2'!M19*'Revenue Input'!$E15))</f>
        <v>0</v>
      </c>
      <c r="N19" s="64">
        <f>IF('Revenue Input'!$E15="","",IF('Cash Flow %s Yr2'!N19="","",'Cash Flow %s Yr2'!N19*'Revenue Input'!$E15))</f>
        <v>9764.6624999999985</v>
      </c>
      <c r="O19" s="64">
        <f>IF('Revenue Input'!$E15="","",IF('Cash Flow %s Yr2'!O19="","",'Cash Flow %s Yr2'!O19*'Revenue Input'!$E15))</f>
        <v>0</v>
      </c>
      <c r="P19" s="64">
        <f>IF('Revenue Input'!$E15="","",IF('Cash Flow %s Yr2'!P19="","",'Cash Flow %s Yr2'!P19*'Revenue Input'!$E15))</f>
        <v>0</v>
      </c>
      <c r="Q19" s="64">
        <f>IF('Revenue Input'!$E15="","",IF('Cash Flow %s Yr2'!Q19="","",'Cash Flow %s Yr2'!Q19*'Revenue Input'!$E15))</f>
        <v>9764.6624999999985</v>
      </c>
      <c r="R19" s="64">
        <f>IF('Revenue Input'!$E15="","",IF('Cash Flow %s Yr2'!R19="","",'Cash Flow %s Yr2'!R19*'Revenue Input'!$E15))</f>
        <v>0</v>
      </c>
      <c r="S19" s="111">
        <f>IF(SUM(D19:R19)&gt;0,SUM(D19:R19)/'Revenue Input'!$E15,"")</f>
        <v>1</v>
      </c>
    </row>
    <row r="20" spans="1:19" s="31" customFormat="1" ht="18" x14ac:dyDescent="0.2">
      <c r="A20" s="47"/>
      <c r="B20" s="65" t="str">
        <f>'Revenue Input'!B16</f>
        <v>8590</v>
      </c>
      <c r="C20" s="65" t="str">
        <f>'Revenue Input'!C16</f>
        <v>Educator Effectiveness</v>
      </c>
      <c r="D20" s="64" t="str">
        <f>IF('Revenue Input'!$E16="","",IF('Cash Flow %s Yr2'!D20="","",'Cash Flow %s Yr2'!D20*'Revenue Input'!$E16))</f>
        <v/>
      </c>
      <c r="E20" s="64" t="str">
        <f>IF('Revenue Input'!$E16="","",IF('Cash Flow %s Yr2'!E20="","",'Cash Flow %s Yr2'!E20*'Revenue Input'!$E16))</f>
        <v/>
      </c>
      <c r="F20" s="64" t="str">
        <f>IF('Revenue Input'!$E16="","",IF('Cash Flow %s Yr2'!F20="","",'Cash Flow %s Yr2'!F20*'Revenue Input'!$E16))</f>
        <v/>
      </c>
      <c r="G20" s="64" t="str">
        <f>IF('Revenue Input'!$E16="","",IF('Cash Flow %s Yr2'!G20="","",'Cash Flow %s Yr2'!G20*'Revenue Input'!$E16))</f>
        <v/>
      </c>
      <c r="H20" s="64" t="str">
        <f>IF('Revenue Input'!$E16="","",IF('Cash Flow %s Yr2'!H20="","",'Cash Flow %s Yr2'!H20*'Revenue Input'!$E16))</f>
        <v/>
      </c>
      <c r="I20" s="64" t="str">
        <f>IF('Revenue Input'!$E16="","",IF('Cash Flow %s Yr2'!I20="","",'Cash Flow %s Yr2'!I20*'Revenue Input'!$E16))</f>
        <v/>
      </c>
      <c r="J20" s="64" t="str">
        <f>IF('Revenue Input'!$E16="","",IF('Cash Flow %s Yr2'!J20="","",'Cash Flow %s Yr2'!J20*'Revenue Input'!$E16))</f>
        <v/>
      </c>
      <c r="K20" s="64" t="str">
        <f>IF('Revenue Input'!$E16="","",IF('Cash Flow %s Yr2'!K20="","",'Cash Flow %s Yr2'!K20*'Revenue Input'!$E16))</f>
        <v/>
      </c>
      <c r="L20" s="64" t="str">
        <f>IF('Revenue Input'!$E16="","",IF('Cash Flow %s Yr2'!L20="","",'Cash Flow %s Yr2'!L20*'Revenue Input'!$E16))</f>
        <v/>
      </c>
      <c r="M20" s="64" t="str">
        <f>IF('Revenue Input'!$E16="","",IF('Cash Flow %s Yr2'!M20="","",'Cash Flow %s Yr2'!M20*'Revenue Input'!$E16))</f>
        <v/>
      </c>
      <c r="N20" s="64" t="str">
        <f>IF('Revenue Input'!$E16="","",IF('Cash Flow %s Yr2'!N20="","",'Cash Flow %s Yr2'!N20*'Revenue Input'!$E16))</f>
        <v/>
      </c>
      <c r="O20" s="64" t="str">
        <f>IF('Revenue Input'!$E16="","",IF('Cash Flow %s Yr2'!O20="","",'Cash Flow %s Yr2'!O20*'Revenue Input'!$E16))</f>
        <v/>
      </c>
      <c r="P20" s="64" t="str">
        <f>IF('Revenue Input'!$E16="","",IF('Cash Flow %s Yr2'!P20="","",'Cash Flow %s Yr2'!P20*'Revenue Input'!$E16))</f>
        <v/>
      </c>
      <c r="Q20" s="64" t="str">
        <f>IF('Revenue Input'!$E16="","",IF('Cash Flow %s Yr2'!Q20="","",'Cash Flow %s Yr2'!Q20*'Revenue Input'!$E16))</f>
        <v/>
      </c>
      <c r="R20" s="64" t="str">
        <f>IF('Revenue Input'!$E16="","",IF('Cash Flow %s Yr2'!R20="","",'Cash Flow %s Yr2'!R20*'Revenue Input'!$E16))</f>
        <v/>
      </c>
      <c r="S20" s="111" t="str">
        <f>IF(SUM(D20:R20)&gt;0,SUM(D20:R20)/'Revenue Input'!$E16,"")</f>
        <v/>
      </c>
    </row>
    <row r="21" spans="1:19" s="31" customFormat="1" ht="18" x14ac:dyDescent="0.2">
      <c r="A21" s="47"/>
      <c r="B21" s="65" t="str">
        <f>'Revenue Input'!B17</f>
        <v>8550</v>
      </c>
      <c r="C21" s="65" t="str">
        <f>'Revenue Input'!C17</f>
        <v>Mandate Block Grant</v>
      </c>
      <c r="D21" s="64">
        <f>IF('Revenue Input'!$E17="","",IF('Cash Flow %s Yr2'!D22="","",'Cash Flow %s Yr2'!D22*'Revenue Input'!$E17))</f>
        <v>0</v>
      </c>
      <c r="E21" s="64">
        <f>IF('Revenue Input'!$E17="","",IF('Cash Flow %s Yr2'!E22="","",'Cash Flow %s Yr2'!E22*'Revenue Input'!$E17))</f>
        <v>0</v>
      </c>
      <c r="F21" s="64">
        <f>IF('Revenue Input'!$E17="","",IF('Cash Flow %s Yr2'!F22="","",'Cash Flow %s Yr2'!F22*'Revenue Input'!$E17))</f>
        <v>0</v>
      </c>
      <c r="G21" s="64">
        <f>IF('Revenue Input'!$E17="","",IF('Cash Flow %s Yr2'!G22="","",'Cash Flow %s Yr2'!G22*'Revenue Input'!$E17))</f>
        <v>0</v>
      </c>
      <c r="H21" s="64">
        <f>IF('Revenue Input'!$E17="","",IF('Cash Flow %s Yr2'!H22="","",'Cash Flow %s Yr2'!H22*'Revenue Input'!$E17))</f>
        <v>0</v>
      </c>
      <c r="I21" s="64">
        <f>IF('Revenue Input'!$E17="","",IF('Cash Flow %s Yr2'!I22="","",'Cash Flow %s Yr2'!I22*'Revenue Input'!$E17))</f>
        <v>1655.7752</v>
      </c>
      <c r="J21" s="64">
        <f>IF('Revenue Input'!$E17="","",IF('Cash Flow %s Yr2'!J22="","",'Cash Flow %s Yr2'!J22*'Revenue Input'!$E17))</f>
        <v>0</v>
      </c>
      <c r="K21" s="64">
        <f>IF('Revenue Input'!$E17="","",IF('Cash Flow %s Yr2'!K22="","",'Cash Flow %s Yr2'!K22*'Revenue Input'!$E17))</f>
        <v>0</v>
      </c>
      <c r="L21" s="64">
        <f>IF('Revenue Input'!$E17="","",IF('Cash Flow %s Yr2'!L22="","",'Cash Flow %s Yr2'!L22*'Revenue Input'!$E17))</f>
        <v>413.94380000000001</v>
      </c>
      <c r="M21" s="64">
        <f>IF('Revenue Input'!$E17="","",IF('Cash Flow %s Yr2'!M22="","",'Cash Flow %s Yr2'!M22*'Revenue Input'!$E17))</f>
        <v>0</v>
      </c>
      <c r="N21" s="64">
        <f>IF('Revenue Input'!$E17="","",IF('Cash Flow %s Yr2'!N22="","",'Cash Flow %s Yr2'!N22*'Revenue Input'!$E17))</f>
        <v>0</v>
      </c>
      <c r="O21" s="64">
        <f>IF('Revenue Input'!$E17="","",IF('Cash Flow %s Yr2'!O22="","",'Cash Flow %s Yr2'!O22*'Revenue Input'!$E17))</f>
        <v>0</v>
      </c>
      <c r="P21" s="64">
        <f>IF('Revenue Input'!$E17="","",IF('Cash Flow %s Yr2'!P22="","",'Cash Flow %s Yr2'!P22*'Revenue Input'!$E17))</f>
        <v>0</v>
      </c>
      <c r="Q21" s="64">
        <f>IF('Revenue Input'!$E17="","",IF('Cash Flow %s Yr2'!Q22="","",'Cash Flow %s Yr2'!Q22*'Revenue Input'!$E17))</f>
        <v>0</v>
      </c>
      <c r="R21" s="64">
        <f>IF('Revenue Input'!$E17="","",IF('Cash Flow %s Yr2'!R22="","",'Cash Flow %s Yr2'!R22*'Revenue Input'!$E17))</f>
        <v>0</v>
      </c>
      <c r="S21" s="111">
        <f>IF(SUM(D21:R21)&gt;0,SUM(D21:R21)/'Revenue Input'!$E17,"")</f>
        <v>1</v>
      </c>
    </row>
    <row r="22" spans="1:19" s="31" customFormat="1" ht="18" x14ac:dyDescent="0.2">
      <c r="A22" s="47"/>
      <c r="B22" s="65" t="str">
        <f>'Revenue Input'!B18</f>
        <v>8550</v>
      </c>
      <c r="C22" s="65" t="str">
        <f>'Revenue Input'!C18</f>
        <v>One Time Block Grant</v>
      </c>
      <c r="D22" s="64" t="str">
        <f>IF('Revenue Input'!$E18="","",IF('Cash Flow %s Yr2'!D22="","",'Cash Flow %s Yr2'!D22*'Revenue Input'!$E18))</f>
        <v/>
      </c>
      <c r="E22" s="64" t="str">
        <f>IF('Revenue Input'!$E18="","",IF('Cash Flow %s Yr2'!E22="","",'Cash Flow %s Yr2'!E22*'Revenue Input'!$E18))</f>
        <v/>
      </c>
      <c r="F22" s="64" t="str">
        <f>IF('Revenue Input'!$E18="","",IF('Cash Flow %s Yr2'!F22="","",'Cash Flow %s Yr2'!F22*'Revenue Input'!$E18))</f>
        <v/>
      </c>
      <c r="G22" s="64" t="str">
        <f>IF('Revenue Input'!$E18="","",IF('Cash Flow %s Yr2'!G22="","",'Cash Flow %s Yr2'!G22*'Revenue Input'!$E18))</f>
        <v/>
      </c>
      <c r="H22" s="64" t="str">
        <f>IF('Revenue Input'!$E18="","",IF('Cash Flow %s Yr2'!H22="","",'Cash Flow %s Yr2'!H22*'Revenue Input'!$E18))</f>
        <v/>
      </c>
      <c r="I22" s="64" t="str">
        <f>IF('Revenue Input'!$E18="","",IF('Cash Flow %s Yr2'!I22="","",'Cash Flow %s Yr2'!I22*'Revenue Input'!$E18))</f>
        <v/>
      </c>
      <c r="J22" s="64" t="str">
        <f>IF('Revenue Input'!$E18="","",IF('Cash Flow %s Yr2'!J22="","",'Cash Flow %s Yr2'!J22*'Revenue Input'!$E18))</f>
        <v/>
      </c>
      <c r="K22" s="64" t="str">
        <f>IF('Revenue Input'!$E18="","",IF('Cash Flow %s Yr2'!K22="","",'Cash Flow %s Yr2'!K22*'Revenue Input'!$E18))</f>
        <v/>
      </c>
      <c r="L22" s="64" t="str">
        <f>IF('Revenue Input'!$E18="","",IF('Cash Flow %s Yr2'!L22="","",'Cash Flow %s Yr2'!L22*'Revenue Input'!$E18))</f>
        <v/>
      </c>
      <c r="M22" s="64" t="str">
        <f>IF('Revenue Input'!$E18="","",IF('Cash Flow %s Yr2'!M22="","",'Cash Flow %s Yr2'!M22*'Revenue Input'!$E18))</f>
        <v/>
      </c>
      <c r="N22" s="64" t="str">
        <f>IF('Revenue Input'!$E18="","",IF('Cash Flow %s Yr2'!N22="","",'Cash Flow %s Yr2'!N22*'Revenue Input'!$E18))</f>
        <v/>
      </c>
      <c r="O22" s="64" t="str">
        <f>IF('Revenue Input'!$E18="","",IF('Cash Flow %s Yr2'!O22="","",'Cash Flow %s Yr2'!O22*'Revenue Input'!$E18))</f>
        <v/>
      </c>
      <c r="P22" s="64" t="str">
        <f>IF('Revenue Input'!$E18="","",IF('Cash Flow %s Yr2'!P22="","",'Cash Flow %s Yr2'!P22*'Revenue Input'!$E18))</f>
        <v/>
      </c>
      <c r="Q22" s="64" t="str">
        <f>IF('Revenue Input'!$E18="","",IF('Cash Flow %s Yr2'!Q22="","",'Cash Flow %s Yr2'!Q22*'Revenue Input'!$E18))</f>
        <v/>
      </c>
      <c r="R22" s="64" t="str">
        <f>IF('Revenue Input'!$E18="","",IF('Cash Flow %s Yr2'!R22="","",'Cash Flow %s Yr2'!R22*'Revenue Input'!$E18))</f>
        <v/>
      </c>
      <c r="S22" s="111" t="str">
        <f>IF(SUM(D22:R22)&gt;0,SUM(D22:R22)/'Revenue Input'!$E18,"")</f>
        <v/>
      </c>
    </row>
    <row r="23" spans="1:19" s="31" customFormat="1" ht="18" x14ac:dyDescent="0.2">
      <c r="A23" s="47"/>
      <c r="B23" s="73"/>
      <c r="C23" s="34" t="s">
        <v>721</v>
      </c>
      <c r="D23" s="172">
        <f>SUM(D12:D22)</f>
        <v>4943.9049999999997</v>
      </c>
      <c r="E23" s="172">
        <f t="shared" ref="E23:R23" si="0">SUM(E12:E22)</f>
        <v>73677.700425396004</v>
      </c>
      <c r="F23" s="172">
        <f t="shared" si="0"/>
        <v>50452.951605396003</v>
      </c>
      <c r="G23" s="172">
        <f t="shared" si="0"/>
        <v>106515.3097777128</v>
      </c>
      <c r="H23" s="172">
        <f t="shared" si="0"/>
        <v>78741.097277712804</v>
      </c>
      <c r="I23" s="172">
        <f t="shared" si="0"/>
        <v>75692.517477712798</v>
      </c>
      <c r="J23" s="172">
        <f t="shared" si="0"/>
        <v>106515.3097777128</v>
      </c>
      <c r="K23" s="172">
        <f t="shared" si="0"/>
        <v>104275.35300771281</v>
      </c>
      <c r="L23" s="172">
        <f t="shared" si="0"/>
        <v>65978.053872712801</v>
      </c>
      <c r="M23" s="172">
        <f t="shared" si="0"/>
        <v>108163.2925727128</v>
      </c>
      <c r="N23" s="172">
        <f t="shared" si="0"/>
        <v>75328.772572712798</v>
      </c>
      <c r="O23" s="172">
        <f t="shared" si="0"/>
        <v>65564.110072712807</v>
      </c>
      <c r="P23" s="172">
        <f t="shared" si="0"/>
        <v>84277.019637712801</v>
      </c>
      <c r="Q23" s="172">
        <f t="shared" si="0"/>
        <v>58712.96678284715</v>
      </c>
      <c r="R23" s="172">
        <f t="shared" si="0"/>
        <v>0</v>
      </c>
      <c r="S23" s="111"/>
    </row>
    <row r="24" spans="1:19" s="31" customFormat="1" ht="18" x14ac:dyDescent="0.2">
      <c r="A24" s="47"/>
      <c r="B24" s="72"/>
      <c r="C24" s="50"/>
      <c r="D24" s="126"/>
      <c r="E24" s="126"/>
      <c r="F24" s="126"/>
      <c r="G24" s="126"/>
      <c r="H24" s="126"/>
      <c r="I24" s="126"/>
      <c r="J24" s="126"/>
      <c r="K24" s="126"/>
      <c r="L24" s="126"/>
      <c r="M24" s="126"/>
      <c r="N24" s="126"/>
      <c r="O24" s="126"/>
      <c r="P24" s="126"/>
      <c r="Q24" s="126"/>
      <c r="R24" s="126"/>
    </row>
    <row r="25" spans="1:19" s="31" customFormat="1" ht="18" x14ac:dyDescent="0.2">
      <c r="B25" s="47" t="s">
        <v>785</v>
      </c>
      <c r="C25" s="50"/>
      <c r="D25" s="126"/>
      <c r="E25" s="126"/>
      <c r="F25" s="126"/>
      <c r="G25" s="126"/>
      <c r="H25" s="126"/>
      <c r="I25" s="126"/>
      <c r="J25" s="126"/>
      <c r="K25" s="126"/>
      <c r="L25" s="126"/>
      <c r="M25" s="126"/>
      <c r="N25" s="126"/>
      <c r="O25" s="126"/>
      <c r="P25" s="126"/>
      <c r="Q25" s="126"/>
      <c r="R25" s="126"/>
    </row>
    <row r="26" spans="1:19" s="31" customFormat="1" ht="18" x14ac:dyDescent="0.2">
      <c r="A26" s="47"/>
      <c r="B26" s="65" t="str">
        <f>'Revenue Input'!B22</f>
        <v>8220</v>
      </c>
      <c r="C26" s="65" t="str">
        <f>'Revenue Input'!C22</f>
        <v>Federal Child Nutrition Programs</v>
      </c>
      <c r="D26" s="64" t="str">
        <f>IF('Revenue Input'!$E22="","",IF('Cash Flow %s Yr2'!D26="","",'Cash Flow %s Yr2'!D26*'Revenue Input'!$E22))</f>
        <v/>
      </c>
      <c r="E26" s="64" t="str">
        <f>IF('Revenue Input'!$E22="","",IF('Cash Flow %s Yr2'!E26="","",'Cash Flow %s Yr2'!E26*'Revenue Input'!$E22))</f>
        <v/>
      </c>
      <c r="F26" s="64" t="str">
        <f>IF('Revenue Input'!$E22="","",IF('Cash Flow %s Yr2'!F26="","",'Cash Flow %s Yr2'!F26*'Revenue Input'!$E22))</f>
        <v/>
      </c>
      <c r="G26" s="64" t="str">
        <f>IF('Revenue Input'!$E22="","",IF('Cash Flow %s Yr2'!G26="","",'Cash Flow %s Yr2'!G26*'Revenue Input'!$E22))</f>
        <v/>
      </c>
      <c r="H26" s="64" t="str">
        <f>IF('Revenue Input'!$E22="","",IF('Cash Flow %s Yr2'!H26="","",'Cash Flow %s Yr2'!H26*'Revenue Input'!$E22))</f>
        <v/>
      </c>
      <c r="I26" s="64" t="str">
        <f>IF('Revenue Input'!$E22="","",IF('Cash Flow %s Yr2'!I26="","",'Cash Flow %s Yr2'!I26*'Revenue Input'!$E22))</f>
        <v/>
      </c>
      <c r="J26" s="64" t="str">
        <f>IF('Revenue Input'!$E22="","",IF('Cash Flow %s Yr2'!J26="","",'Cash Flow %s Yr2'!J26*'Revenue Input'!$E22))</f>
        <v/>
      </c>
      <c r="K26" s="64" t="str">
        <f>IF('Revenue Input'!$E22="","",IF('Cash Flow %s Yr2'!K26="","",'Cash Flow %s Yr2'!K26*'Revenue Input'!$E22))</f>
        <v/>
      </c>
      <c r="L26" s="64" t="str">
        <f>IF('Revenue Input'!$E22="","",IF('Cash Flow %s Yr2'!L26="","",'Cash Flow %s Yr2'!L26*'Revenue Input'!$E22))</f>
        <v/>
      </c>
      <c r="M26" s="64" t="str">
        <f>IF('Revenue Input'!$E22="","",IF('Cash Flow %s Yr2'!M26="","",'Cash Flow %s Yr2'!M26*'Revenue Input'!$E22))</f>
        <v/>
      </c>
      <c r="N26" s="64" t="str">
        <f>IF('Revenue Input'!$E22="","",IF('Cash Flow %s Yr2'!N26="","",'Cash Flow %s Yr2'!N26*'Revenue Input'!$E22))</f>
        <v/>
      </c>
      <c r="O26" s="64" t="str">
        <f>IF('Revenue Input'!$E22="","",IF('Cash Flow %s Yr2'!O26="","",'Cash Flow %s Yr2'!O26*'Revenue Input'!$E22))</f>
        <v/>
      </c>
      <c r="P26" s="64" t="str">
        <f>IF('Revenue Input'!$E22="","",IF('Cash Flow %s Yr2'!P26="","",'Cash Flow %s Yr2'!P26*'Revenue Input'!$E22))</f>
        <v/>
      </c>
      <c r="Q26" s="64" t="str">
        <f>IF('Revenue Input'!$E22="","",IF('Cash Flow %s Yr2'!Q26="","",'Cash Flow %s Yr2'!Q26*'Revenue Input'!$E22))</f>
        <v/>
      </c>
      <c r="R26" s="64" t="str">
        <f>IF('Revenue Input'!$E22="","",IF('Cash Flow %s Yr2'!R26="","",'Cash Flow %s Yr2'!R26*'Revenue Input'!$E22))</f>
        <v/>
      </c>
      <c r="S26" s="111" t="str">
        <f>IF(SUM(D26:R26)&gt;0,SUM(D26:R26)/'Revenue Input'!$E22,"")</f>
        <v/>
      </c>
    </row>
    <row r="27" spans="1:19" s="31" customFormat="1" ht="18" x14ac:dyDescent="0.2">
      <c r="A27" s="47"/>
      <c r="B27" s="65" t="str">
        <f>'Revenue Input'!B23</f>
        <v>8290</v>
      </c>
      <c r="C27" s="65" t="str">
        <f>'Revenue Input'!C23</f>
        <v>All Other Federal Revenue, inc Facilities Incentive Grants program</v>
      </c>
      <c r="D27" s="64" t="str">
        <f>IF('Revenue Input'!$E23="","",IF('Cash Flow %s Yr2'!D27="","",'Cash Flow %s Yr2'!D27*'Revenue Input'!$E23))</f>
        <v/>
      </c>
      <c r="E27" s="64" t="str">
        <f>IF('Revenue Input'!$E23="","",IF('Cash Flow %s Yr2'!E27="","",'Cash Flow %s Yr2'!E27*'Revenue Input'!$E23))</f>
        <v/>
      </c>
      <c r="F27" s="64" t="str">
        <f>IF('Revenue Input'!$E23="","",IF('Cash Flow %s Yr2'!F27="","",'Cash Flow %s Yr2'!F27*'Revenue Input'!$E23))</f>
        <v/>
      </c>
      <c r="G27" s="64" t="str">
        <f>IF('Revenue Input'!$E23="","",IF('Cash Flow %s Yr2'!G27="","",'Cash Flow %s Yr2'!G27*'Revenue Input'!$E23))</f>
        <v/>
      </c>
      <c r="H27" s="64" t="str">
        <f>IF('Revenue Input'!$E23="","",IF('Cash Flow %s Yr2'!H27="","",'Cash Flow %s Yr2'!H27*'Revenue Input'!$E23))</f>
        <v/>
      </c>
      <c r="I27" s="64" t="str">
        <f>IF('Revenue Input'!$E23="","",IF('Cash Flow %s Yr2'!I27="","",'Cash Flow %s Yr2'!I27*'Revenue Input'!$E23))</f>
        <v/>
      </c>
      <c r="J27" s="64" t="str">
        <f>IF('Revenue Input'!$E23="","",IF('Cash Flow %s Yr2'!J27="","",'Cash Flow %s Yr2'!J27*'Revenue Input'!$E23))</f>
        <v/>
      </c>
      <c r="K27" s="64" t="str">
        <f>IF('Revenue Input'!$E23="","",IF('Cash Flow %s Yr2'!K27="","",'Cash Flow %s Yr2'!K27*'Revenue Input'!$E23))</f>
        <v/>
      </c>
      <c r="L27" s="64" t="str">
        <f>IF('Revenue Input'!$E23="","",IF('Cash Flow %s Yr2'!L27="","",'Cash Flow %s Yr2'!L27*'Revenue Input'!$E23))</f>
        <v/>
      </c>
      <c r="M27" s="64" t="str">
        <f>IF('Revenue Input'!$E23="","",IF('Cash Flow %s Yr2'!M27="","",'Cash Flow %s Yr2'!M27*'Revenue Input'!$E23))</f>
        <v/>
      </c>
      <c r="N27" s="64" t="str">
        <f>IF('Revenue Input'!$E23="","",IF('Cash Flow %s Yr2'!N27="","",'Cash Flow %s Yr2'!N27*'Revenue Input'!$E23))</f>
        <v/>
      </c>
      <c r="O27" s="64" t="str">
        <f>IF('Revenue Input'!$E23="","",IF('Cash Flow %s Yr2'!O27="","",'Cash Flow %s Yr2'!O27*'Revenue Input'!$E23))</f>
        <v/>
      </c>
      <c r="P27" s="64" t="str">
        <f>IF('Revenue Input'!$E23="","",IF('Cash Flow %s Yr2'!P27="","",'Cash Flow %s Yr2'!P27*'Revenue Input'!$E23))</f>
        <v/>
      </c>
      <c r="Q27" s="64" t="str">
        <f>IF('Revenue Input'!$E23="","",IF('Cash Flow %s Yr2'!Q27="","",'Cash Flow %s Yr2'!Q27*'Revenue Input'!$E23))</f>
        <v/>
      </c>
      <c r="R27" s="64" t="str">
        <f>IF('Revenue Input'!$E23="","",IF('Cash Flow %s Yr2'!R27="","",'Cash Flow %s Yr2'!R27*'Revenue Input'!$E23))</f>
        <v/>
      </c>
      <c r="S27" s="111" t="str">
        <f>IF(SUM(D27:R27)&gt;0,SUM(D27:R27)/'Revenue Input'!$E23,"")</f>
        <v/>
      </c>
    </row>
    <row r="28" spans="1:19" s="31" customFormat="1" ht="18" x14ac:dyDescent="0.2">
      <c r="A28" s="47"/>
      <c r="B28" s="65" t="str">
        <f>'Revenue Input'!B24</f>
        <v>8291</v>
      </c>
      <c r="C28" s="65" t="str">
        <f>'Revenue Input'!C24</f>
        <v>Title I</v>
      </c>
      <c r="D28" s="64" t="str">
        <f>IF('Revenue Input'!$E24="","",IF('Cash Flow %s Yr2'!D28="","",'Cash Flow %s Yr2'!D28*'Revenue Input'!$E24))</f>
        <v/>
      </c>
      <c r="E28" s="64" t="str">
        <f>IF('Revenue Input'!$E24="","",IF('Cash Flow %s Yr2'!E28="","",'Cash Flow %s Yr2'!E28*'Revenue Input'!$E24))</f>
        <v/>
      </c>
      <c r="F28" s="64" t="str">
        <f>IF('Revenue Input'!$E24="","",IF('Cash Flow %s Yr2'!F28="","",'Cash Flow %s Yr2'!F28*'Revenue Input'!$E24))</f>
        <v/>
      </c>
      <c r="G28" s="64" t="str">
        <f>IF('Revenue Input'!$E24="","",IF('Cash Flow %s Yr2'!G28="","",'Cash Flow %s Yr2'!G28*'Revenue Input'!$E24))</f>
        <v/>
      </c>
      <c r="H28" s="64" t="str">
        <f>IF('Revenue Input'!$E24="","",IF('Cash Flow %s Yr2'!H28="","",'Cash Flow %s Yr2'!H28*'Revenue Input'!$E24))</f>
        <v/>
      </c>
      <c r="I28" s="64" t="str">
        <f>IF('Revenue Input'!$E24="","",IF('Cash Flow %s Yr2'!I28="","",'Cash Flow %s Yr2'!I28*'Revenue Input'!$E24))</f>
        <v/>
      </c>
      <c r="J28" s="64" t="str">
        <f>IF('Revenue Input'!$E24="","",IF('Cash Flow %s Yr2'!J28="","",'Cash Flow %s Yr2'!J28*'Revenue Input'!$E24))</f>
        <v/>
      </c>
      <c r="K28" s="64" t="str">
        <f>IF('Revenue Input'!$E24="","",IF('Cash Flow %s Yr2'!K28="","",'Cash Flow %s Yr2'!K28*'Revenue Input'!$E24))</f>
        <v/>
      </c>
      <c r="L28" s="64" t="str">
        <f>IF('Revenue Input'!$E24="","",IF('Cash Flow %s Yr2'!L28="","",'Cash Flow %s Yr2'!L28*'Revenue Input'!$E24))</f>
        <v/>
      </c>
      <c r="M28" s="64" t="str">
        <f>IF('Revenue Input'!$E24="","",IF('Cash Flow %s Yr2'!M28="","",'Cash Flow %s Yr2'!M28*'Revenue Input'!$E24))</f>
        <v/>
      </c>
      <c r="N28" s="64" t="str">
        <f>IF('Revenue Input'!$E24="","",IF('Cash Flow %s Yr2'!N28="","",'Cash Flow %s Yr2'!N28*'Revenue Input'!$E24))</f>
        <v/>
      </c>
      <c r="O28" s="64" t="str">
        <f>IF('Revenue Input'!$E24="","",IF('Cash Flow %s Yr2'!O28="","",'Cash Flow %s Yr2'!O28*'Revenue Input'!$E24))</f>
        <v/>
      </c>
      <c r="P28" s="64" t="str">
        <f>IF('Revenue Input'!$E24="","",IF('Cash Flow %s Yr2'!P28="","",'Cash Flow %s Yr2'!P28*'Revenue Input'!$E24))</f>
        <v/>
      </c>
      <c r="Q28" s="64" t="str">
        <f>IF('Revenue Input'!$E24="","",IF('Cash Flow %s Yr2'!Q28="","",'Cash Flow %s Yr2'!Q28*'Revenue Input'!$E24))</f>
        <v/>
      </c>
      <c r="R28" s="64" t="str">
        <f>IF('Revenue Input'!$E24="","",IF('Cash Flow %s Yr2'!R28="","",'Cash Flow %s Yr2'!R28*'Revenue Input'!$E24))</f>
        <v/>
      </c>
      <c r="S28" s="111" t="str">
        <f>IF(SUM(D28:R28)&gt;0,SUM(D28:R28)/'Revenue Input'!$E24,"")</f>
        <v/>
      </c>
    </row>
    <row r="29" spans="1:19" s="31" customFormat="1" ht="18" x14ac:dyDescent="0.2">
      <c r="A29" s="47"/>
      <c r="B29" s="65" t="str">
        <f>'Revenue Input'!B25</f>
        <v>8292</v>
      </c>
      <c r="C29" s="65" t="str">
        <f>'Revenue Input'!C25</f>
        <v>Title II</v>
      </c>
      <c r="D29" s="64" t="str">
        <f>IF('Revenue Input'!$E25="","",IF('Cash Flow %s Yr2'!D29="","",'Cash Flow %s Yr2'!D29*'Revenue Input'!$E25))</f>
        <v/>
      </c>
      <c r="E29" s="64" t="str">
        <f>IF('Revenue Input'!$E25="","",IF('Cash Flow %s Yr2'!E29="","",'Cash Flow %s Yr2'!E29*'Revenue Input'!$E25))</f>
        <v/>
      </c>
      <c r="F29" s="64" t="str">
        <f>IF('Revenue Input'!$E25="","",IF('Cash Flow %s Yr2'!F29="","",'Cash Flow %s Yr2'!F29*'Revenue Input'!$E25))</f>
        <v/>
      </c>
      <c r="G29" s="64" t="str">
        <f>IF('Revenue Input'!$E25="","",IF('Cash Flow %s Yr2'!G29="","",'Cash Flow %s Yr2'!G29*'Revenue Input'!$E25))</f>
        <v/>
      </c>
      <c r="H29" s="64" t="str">
        <f>IF('Revenue Input'!$E25="","",IF('Cash Flow %s Yr2'!H29="","",'Cash Flow %s Yr2'!H29*'Revenue Input'!$E25))</f>
        <v/>
      </c>
      <c r="I29" s="64" t="str">
        <f>IF('Revenue Input'!$E25="","",IF('Cash Flow %s Yr2'!I29="","",'Cash Flow %s Yr2'!I29*'Revenue Input'!$E25))</f>
        <v/>
      </c>
      <c r="J29" s="64" t="str">
        <f>IF('Revenue Input'!$E25="","",IF('Cash Flow %s Yr2'!J29="","",'Cash Flow %s Yr2'!J29*'Revenue Input'!$E25))</f>
        <v/>
      </c>
      <c r="K29" s="64" t="str">
        <f>IF('Revenue Input'!$E25="","",IF('Cash Flow %s Yr2'!K29="","",'Cash Flow %s Yr2'!K29*'Revenue Input'!$E25))</f>
        <v/>
      </c>
      <c r="L29" s="64" t="str">
        <f>IF('Revenue Input'!$E25="","",IF('Cash Flow %s Yr2'!L29="","",'Cash Flow %s Yr2'!L29*'Revenue Input'!$E25))</f>
        <v/>
      </c>
      <c r="M29" s="64" t="str">
        <f>IF('Revenue Input'!$E25="","",IF('Cash Flow %s Yr2'!M29="","",'Cash Flow %s Yr2'!M29*'Revenue Input'!$E25))</f>
        <v/>
      </c>
      <c r="N29" s="64" t="str">
        <f>IF('Revenue Input'!$E25="","",IF('Cash Flow %s Yr2'!N29="","",'Cash Flow %s Yr2'!N29*'Revenue Input'!$E25))</f>
        <v/>
      </c>
      <c r="O29" s="64" t="str">
        <f>IF('Revenue Input'!$E25="","",IF('Cash Flow %s Yr2'!O29="","",'Cash Flow %s Yr2'!O29*'Revenue Input'!$E25))</f>
        <v/>
      </c>
      <c r="P29" s="64" t="str">
        <f>IF('Revenue Input'!$E25="","",IF('Cash Flow %s Yr2'!P29="","",'Cash Flow %s Yr2'!P29*'Revenue Input'!$E25))</f>
        <v/>
      </c>
      <c r="Q29" s="64" t="str">
        <f>IF('Revenue Input'!$E25="","",IF('Cash Flow %s Yr2'!Q29="","",'Cash Flow %s Yr2'!Q29*'Revenue Input'!$E25))</f>
        <v/>
      </c>
      <c r="R29" s="64" t="str">
        <f>IF('Revenue Input'!$E25="","",IF('Cash Flow %s Yr2'!R29="","",'Cash Flow %s Yr2'!R29*'Revenue Input'!$E25))</f>
        <v/>
      </c>
      <c r="S29" s="111" t="str">
        <f>IF(SUM(D29:R29)&gt;0,SUM(D29:R29)/'Revenue Input'!$E25,"")</f>
        <v/>
      </c>
    </row>
    <row r="30" spans="1:19" s="31" customFormat="1" ht="18" x14ac:dyDescent="0.2">
      <c r="A30" s="47"/>
      <c r="B30" s="65" t="str">
        <f>'Revenue Input'!B26</f>
        <v>8293</v>
      </c>
      <c r="C30" s="65" t="str">
        <f>'Revenue Input'!C26</f>
        <v>Title III</v>
      </c>
      <c r="D30" s="64" t="str">
        <f>IF('Revenue Input'!$E26="","",IF('Cash Flow %s Yr2'!D30="","",'Cash Flow %s Yr2'!D30*'Revenue Input'!$E26))</f>
        <v/>
      </c>
      <c r="E30" s="64" t="str">
        <f>IF('Revenue Input'!$E26="","",IF('Cash Flow %s Yr2'!E30="","",'Cash Flow %s Yr2'!E30*'Revenue Input'!$E26))</f>
        <v/>
      </c>
      <c r="F30" s="64" t="str">
        <f>IF('Revenue Input'!$E26="","",IF('Cash Flow %s Yr2'!F30="","",'Cash Flow %s Yr2'!F30*'Revenue Input'!$E26))</f>
        <v/>
      </c>
      <c r="G30" s="64" t="str">
        <f>IF('Revenue Input'!$E26="","",IF('Cash Flow %s Yr2'!G30="","",'Cash Flow %s Yr2'!G30*'Revenue Input'!$E26))</f>
        <v/>
      </c>
      <c r="H30" s="64" t="str">
        <f>IF('Revenue Input'!$E26="","",IF('Cash Flow %s Yr2'!H30="","",'Cash Flow %s Yr2'!H30*'Revenue Input'!$E26))</f>
        <v/>
      </c>
      <c r="I30" s="64" t="str">
        <f>IF('Revenue Input'!$E26="","",IF('Cash Flow %s Yr2'!I30="","",'Cash Flow %s Yr2'!I30*'Revenue Input'!$E26))</f>
        <v/>
      </c>
      <c r="J30" s="64" t="str">
        <f>IF('Revenue Input'!$E26="","",IF('Cash Flow %s Yr2'!J30="","",'Cash Flow %s Yr2'!J30*'Revenue Input'!$E26))</f>
        <v/>
      </c>
      <c r="K30" s="64" t="str">
        <f>IF('Revenue Input'!$E26="","",IF('Cash Flow %s Yr2'!K30="","",'Cash Flow %s Yr2'!K30*'Revenue Input'!$E26))</f>
        <v/>
      </c>
      <c r="L30" s="64" t="str">
        <f>IF('Revenue Input'!$E26="","",IF('Cash Flow %s Yr2'!L30="","",'Cash Flow %s Yr2'!L30*'Revenue Input'!$E26))</f>
        <v/>
      </c>
      <c r="M30" s="64" t="str">
        <f>IF('Revenue Input'!$E26="","",IF('Cash Flow %s Yr2'!M30="","",'Cash Flow %s Yr2'!M30*'Revenue Input'!$E26))</f>
        <v/>
      </c>
      <c r="N30" s="64" t="str">
        <f>IF('Revenue Input'!$E26="","",IF('Cash Flow %s Yr2'!N30="","",'Cash Flow %s Yr2'!N30*'Revenue Input'!$E26))</f>
        <v/>
      </c>
      <c r="O30" s="64" t="str">
        <f>IF('Revenue Input'!$E26="","",IF('Cash Flow %s Yr2'!O30="","",'Cash Flow %s Yr2'!O30*'Revenue Input'!$E26))</f>
        <v/>
      </c>
      <c r="P30" s="64" t="str">
        <f>IF('Revenue Input'!$E26="","",IF('Cash Flow %s Yr2'!P30="","",'Cash Flow %s Yr2'!P30*'Revenue Input'!$E26))</f>
        <v/>
      </c>
      <c r="Q30" s="64" t="str">
        <f>IF('Revenue Input'!$E26="","",IF('Cash Flow %s Yr2'!Q30="","",'Cash Flow %s Yr2'!Q30*'Revenue Input'!$E26))</f>
        <v/>
      </c>
      <c r="R30" s="64" t="str">
        <f>IF('Revenue Input'!$E26="","",IF('Cash Flow %s Yr2'!R30="","",'Cash Flow %s Yr2'!R30*'Revenue Input'!$E26))</f>
        <v/>
      </c>
      <c r="S30" s="111" t="str">
        <f>IF(SUM(D30:R30)&gt;0,SUM(D30:R30)/'Revenue Input'!$E26,"")</f>
        <v/>
      </c>
    </row>
    <row r="31" spans="1:19" s="31" customFormat="1" ht="18" x14ac:dyDescent="0.2">
      <c r="A31" s="47"/>
      <c r="B31" s="65" t="str">
        <f>'Revenue Input'!B27</f>
        <v>8294</v>
      </c>
      <c r="C31" s="65" t="str">
        <f>'Revenue Input'!C27</f>
        <v>Title IV</v>
      </c>
      <c r="D31" s="64" t="str">
        <f>IF('Revenue Input'!$E27="","",IF('Cash Flow %s Yr2'!D31="","",'Cash Flow %s Yr2'!D31*'Revenue Input'!$E27))</f>
        <v/>
      </c>
      <c r="E31" s="64" t="str">
        <f>IF('Revenue Input'!$E27="","",IF('Cash Flow %s Yr2'!E31="","",'Cash Flow %s Yr2'!E31*'Revenue Input'!$E27))</f>
        <v/>
      </c>
      <c r="F31" s="64" t="str">
        <f>IF('Revenue Input'!$E27="","",IF('Cash Flow %s Yr2'!F31="","",'Cash Flow %s Yr2'!F31*'Revenue Input'!$E27))</f>
        <v/>
      </c>
      <c r="G31" s="64" t="str">
        <f>IF('Revenue Input'!$E27="","",IF('Cash Flow %s Yr2'!G31="","",'Cash Flow %s Yr2'!G31*'Revenue Input'!$E27))</f>
        <v/>
      </c>
      <c r="H31" s="64" t="str">
        <f>IF('Revenue Input'!$E27="","",IF('Cash Flow %s Yr2'!H31="","",'Cash Flow %s Yr2'!H31*'Revenue Input'!$E27))</f>
        <v/>
      </c>
      <c r="I31" s="64" t="str">
        <f>IF('Revenue Input'!$E27="","",IF('Cash Flow %s Yr2'!I31="","",'Cash Flow %s Yr2'!I31*'Revenue Input'!$E27))</f>
        <v/>
      </c>
      <c r="J31" s="64" t="str">
        <f>IF('Revenue Input'!$E27="","",IF('Cash Flow %s Yr2'!J31="","",'Cash Flow %s Yr2'!J31*'Revenue Input'!$E27))</f>
        <v/>
      </c>
      <c r="K31" s="64" t="str">
        <f>IF('Revenue Input'!$E27="","",IF('Cash Flow %s Yr2'!K31="","",'Cash Flow %s Yr2'!K31*'Revenue Input'!$E27))</f>
        <v/>
      </c>
      <c r="L31" s="64" t="str">
        <f>IF('Revenue Input'!$E27="","",IF('Cash Flow %s Yr2'!L31="","",'Cash Flow %s Yr2'!L31*'Revenue Input'!$E27))</f>
        <v/>
      </c>
      <c r="M31" s="64" t="str">
        <f>IF('Revenue Input'!$E27="","",IF('Cash Flow %s Yr2'!M31="","",'Cash Flow %s Yr2'!M31*'Revenue Input'!$E27))</f>
        <v/>
      </c>
      <c r="N31" s="64" t="str">
        <f>IF('Revenue Input'!$E27="","",IF('Cash Flow %s Yr2'!N31="","",'Cash Flow %s Yr2'!N31*'Revenue Input'!$E27))</f>
        <v/>
      </c>
      <c r="O31" s="64" t="str">
        <f>IF('Revenue Input'!$E27="","",IF('Cash Flow %s Yr2'!O31="","",'Cash Flow %s Yr2'!O31*'Revenue Input'!$E27))</f>
        <v/>
      </c>
      <c r="P31" s="64" t="str">
        <f>IF('Revenue Input'!$E27="","",IF('Cash Flow %s Yr2'!P31="","",'Cash Flow %s Yr2'!P31*'Revenue Input'!$E27))</f>
        <v/>
      </c>
      <c r="Q31" s="64" t="str">
        <f>IF('Revenue Input'!$E27="","",IF('Cash Flow %s Yr2'!Q31="","",'Cash Flow %s Yr2'!Q31*'Revenue Input'!$E27))</f>
        <v/>
      </c>
      <c r="R31" s="64" t="str">
        <f>IF('Revenue Input'!$E27="","",IF('Cash Flow %s Yr2'!R31="","",'Cash Flow %s Yr2'!R31*'Revenue Input'!$E27))</f>
        <v/>
      </c>
      <c r="S31" s="111" t="str">
        <f>IF(SUM(D31:R31)&gt;0,SUM(D31:R31)/'Revenue Input'!$E27,"")</f>
        <v/>
      </c>
    </row>
    <row r="32" spans="1:19" s="31" customFormat="1" ht="18" x14ac:dyDescent="0.2">
      <c r="A32" s="47"/>
      <c r="B32" s="65" t="str">
        <f>'Revenue Input'!B28</f>
        <v>8295</v>
      </c>
      <c r="C32" s="65" t="str">
        <f>'Revenue Input'!C28</f>
        <v>Title V</v>
      </c>
      <c r="D32" s="64" t="str">
        <f>IF('Revenue Input'!$E28="","",IF('Cash Flow %s Yr2'!D32="","",'Cash Flow %s Yr2'!D32*'Revenue Input'!$E28))</f>
        <v/>
      </c>
      <c r="E32" s="64" t="str">
        <f>IF('Revenue Input'!$E28="","",IF('Cash Flow %s Yr2'!E32="","",'Cash Flow %s Yr2'!E32*'Revenue Input'!$E28))</f>
        <v/>
      </c>
      <c r="F32" s="64" t="str">
        <f>IF('Revenue Input'!$E28="","",IF('Cash Flow %s Yr2'!F32="","",'Cash Flow %s Yr2'!F32*'Revenue Input'!$E28))</f>
        <v/>
      </c>
      <c r="G32" s="64" t="str">
        <f>IF('Revenue Input'!$E28="","",IF('Cash Flow %s Yr2'!G32="","",'Cash Flow %s Yr2'!G32*'Revenue Input'!$E28))</f>
        <v/>
      </c>
      <c r="H32" s="64" t="str">
        <f>IF('Revenue Input'!$E28="","",IF('Cash Flow %s Yr2'!H32="","",'Cash Flow %s Yr2'!H32*'Revenue Input'!$E28))</f>
        <v/>
      </c>
      <c r="I32" s="64" t="str">
        <f>IF('Revenue Input'!$E28="","",IF('Cash Flow %s Yr2'!I32="","",'Cash Flow %s Yr2'!I32*'Revenue Input'!$E28))</f>
        <v/>
      </c>
      <c r="J32" s="64" t="str">
        <f>IF('Revenue Input'!$E28="","",IF('Cash Flow %s Yr2'!J32="","",'Cash Flow %s Yr2'!J32*'Revenue Input'!$E28))</f>
        <v/>
      </c>
      <c r="K32" s="64" t="str">
        <f>IF('Revenue Input'!$E28="","",IF('Cash Flow %s Yr2'!K32="","",'Cash Flow %s Yr2'!K32*'Revenue Input'!$E28))</f>
        <v/>
      </c>
      <c r="L32" s="64" t="str">
        <f>IF('Revenue Input'!$E28="","",IF('Cash Flow %s Yr2'!L32="","",'Cash Flow %s Yr2'!L32*'Revenue Input'!$E28))</f>
        <v/>
      </c>
      <c r="M32" s="64" t="str">
        <f>IF('Revenue Input'!$E28="","",IF('Cash Flow %s Yr2'!M32="","",'Cash Flow %s Yr2'!M32*'Revenue Input'!$E28))</f>
        <v/>
      </c>
      <c r="N32" s="64" t="str">
        <f>IF('Revenue Input'!$E28="","",IF('Cash Flow %s Yr2'!N32="","",'Cash Flow %s Yr2'!N32*'Revenue Input'!$E28))</f>
        <v/>
      </c>
      <c r="O32" s="64" t="str">
        <f>IF('Revenue Input'!$E28="","",IF('Cash Flow %s Yr2'!O32="","",'Cash Flow %s Yr2'!O32*'Revenue Input'!$E28))</f>
        <v/>
      </c>
      <c r="P32" s="64" t="str">
        <f>IF('Revenue Input'!$E28="","",IF('Cash Flow %s Yr2'!P32="","",'Cash Flow %s Yr2'!P32*'Revenue Input'!$E28))</f>
        <v/>
      </c>
      <c r="Q32" s="64" t="str">
        <f>IF('Revenue Input'!$E28="","",IF('Cash Flow %s Yr2'!Q32="","",'Cash Flow %s Yr2'!Q32*'Revenue Input'!$E28))</f>
        <v/>
      </c>
      <c r="R32" s="64" t="str">
        <f>IF('Revenue Input'!$E28="","",IF('Cash Flow %s Yr2'!R32="","",'Cash Flow %s Yr2'!R32*'Revenue Input'!$E28))</f>
        <v/>
      </c>
      <c r="S32" s="111" t="str">
        <f>IF(SUM(D32:R32)&gt;0,SUM(D32:R32)/'Revenue Input'!$E28,"")</f>
        <v/>
      </c>
    </row>
    <row r="33" spans="1:19" s="31" customFormat="1" ht="18" x14ac:dyDescent="0.2">
      <c r="A33" s="47"/>
      <c r="B33" s="65" t="str">
        <f>'Revenue Input'!B29</f>
        <v>8299</v>
      </c>
      <c r="C33" s="65" t="str">
        <f>'Revenue Input'!C29</f>
        <v>Prior Year Federal Revenue</v>
      </c>
      <c r="D33" s="64" t="str">
        <f>IF('Revenue Input'!$E29="","",IF('Cash Flow %s Yr2'!D33="","",'Cash Flow %s Yr2'!D33*'Revenue Input'!$E29))</f>
        <v/>
      </c>
      <c r="E33" s="64" t="str">
        <f>IF('Revenue Input'!$E29="","",IF('Cash Flow %s Yr2'!E33="","",'Cash Flow %s Yr2'!E33*'Revenue Input'!$E29))</f>
        <v/>
      </c>
      <c r="F33" s="64" t="str">
        <f>IF('Revenue Input'!$E29="","",IF('Cash Flow %s Yr2'!F33="","",'Cash Flow %s Yr2'!F33*'Revenue Input'!$E29))</f>
        <v/>
      </c>
      <c r="G33" s="64" t="str">
        <f>IF('Revenue Input'!$E29="","",IF('Cash Flow %s Yr2'!G33="","",'Cash Flow %s Yr2'!G33*'Revenue Input'!$E29))</f>
        <v/>
      </c>
      <c r="H33" s="64" t="str">
        <f>IF('Revenue Input'!$E29="","",IF('Cash Flow %s Yr2'!H33="","",'Cash Flow %s Yr2'!H33*'Revenue Input'!$E29))</f>
        <v/>
      </c>
      <c r="I33" s="64" t="str">
        <f>IF('Revenue Input'!$E29="","",IF('Cash Flow %s Yr2'!I33="","",'Cash Flow %s Yr2'!I33*'Revenue Input'!$E29))</f>
        <v/>
      </c>
      <c r="J33" s="64" t="str">
        <f>IF('Revenue Input'!$E29="","",IF('Cash Flow %s Yr2'!J33="","",'Cash Flow %s Yr2'!J33*'Revenue Input'!$E29))</f>
        <v/>
      </c>
      <c r="K33" s="64" t="str">
        <f>IF('Revenue Input'!$E29="","",IF('Cash Flow %s Yr2'!K33="","",'Cash Flow %s Yr2'!K33*'Revenue Input'!$E29))</f>
        <v/>
      </c>
      <c r="L33" s="64" t="str">
        <f>IF('Revenue Input'!$E29="","",IF('Cash Flow %s Yr2'!L33="","",'Cash Flow %s Yr2'!L33*'Revenue Input'!$E29))</f>
        <v/>
      </c>
      <c r="M33" s="64" t="str">
        <f>IF('Revenue Input'!$E29="","",IF('Cash Flow %s Yr2'!M33="","",'Cash Flow %s Yr2'!M33*'Revenue Input'!$E29))</f>
        <v/>
      </c>
      <c r="N33" s="64" t="str">
        <f>IF('Revenue Input'!$E29="","",IF('Cash Flow %s Yr2'!N33="","",'Cash Flow %s Yr2'!N33*'Revenue Input'!$E29))</f>
        <v/>
      </c>
      <c r="O33" s="64" t="str">
        <f>IF('Revenue Input'!$E29="","",IF('Cash Flow %s Yr2'!O33="","",'Cash Flow %s Yr2'!O33*'Revenue Input'!$E29))</f>
        <v/>
      </c>
      <c r="P33" s="64" t="str">
        <f>IF('Revenue Input'!$E29="","",IF('Cash Flow %s Yr2'!P33="","",'Cash Flow %s Yr2'!P33*'Revenue Input'!$E29))</f>
        <v/>
      </c>
      <c r="Q33" s="64" t="str">
        <f>IF('Revenue Input'!$E29="","",IF('Cash Flow %s Yr2'!Q33="","",'Cash Flow %s Yr2'!Q33*'Revenue Input'!$E29))</f>
        <v/>
      </c>
      <c r="R33" s="64" t="str">
        <f>IF('Revenue Input'!$E29="","",IF('Cash Flow %s Yr2'!R33="","",'Cash Flow %s Yr2'!R33*'Revenue Input'!$E29))</f>
        <v/>
      </c>
      <c r="S33" s="111" t="str">
        <f>IF(SUM(D33:R33)&gt;0,SUM(D33:R33)/'Revenue Input'!$E29,"")</f>
        <v/>
      </c>
    </row>
    <row r="34" spans="1:19" s="31" customFormat="1" ht="18" x14ac:dyDescent="0.2">
      <c r="A34" s="47"/>
      <c r="B34" s="73"/>
      <c r="C34" s="34" t="s">
        <v>721</v>
      </c>
      <c r="D34" s="172">
        <f>SUM(D26:D33)</f>
        <v>0</v>
      </c>
      <c r="E34" s="172">
        <f t="shared" ref="E34:R34" si="1">SUM(E26:E33)</f>
        <v>0</v>
      </c>
      <c r="F34" s="172">
        <f t="shared" si="1"/>
        <v>0</v>
      </c>
      <c r="G34" s="172">
        <f t="shared" si="1"/>
        <v>0</v>
      </c>
      <c r="H34" s="172">
        <f t="shared" si="1"/>
        <v>0</v>
      </c>
      <c r="I34" s="172">
        <f t="shared" si="1"/>
        <v>0</v>
      </c>
      <c r="J34" s="172">
        <f t="shared" si="1"/>
        <v>0</v>
      </c>
      <c r="K34" s="172">
        <f t="shared" si="1"/>
        <v>0</v>
      </c>
      <c r="L34" s="172">
        <f t="shared" si="1"/>
        <v>0</v>
      </c>
      <c r="M34" s="172">
        <f t="shared" si="1"/>
        <v>0</v>
      </c>
      <c r="N34" s="172">
        <f t="shared" si="1"/>
        <v>0</v>
      </c>
      <c r="O34" s="172">
        <f t="shared" si="1"/>
        <v>0</v>
      </c>
      <c r="P34" s="172">
        <f t="shared" si="1"/>
        <v>0</v>
      </c>
      <c r="Q34" s="172">
        <f t="shared" si="1"/>
        <v>0</v>
      </c>
      <c r="R34" s="172">
        <f t="shared" si="1"/>
        <v>0</v>
      </c>
      <c r="S34" s="107"/>
    </row>
    <row r="35" spans="1:19" s="31" customFormat="1" ht="18" x14ac:dyDescent="0.2">
      <c r="A35" s="47"/>
      <c r="B35" s="72"/>
      <c r="C35" s="50"/>
      <c r="D35" s="126"/>
      <c r="E35" s="126"/>
      <c r="F35" s="126"/>
      <c r="G35" s="126"/>
      <c r="H35" s="126"/>
      <c r="I35" s="126"/>
      <c r="J35" s="126"/>
      <c r="K35" s="126"/>
      <c r="L35" s="126"/>
      <c r="M35" s="126"/>
      <c r="N35" s="126"/>
      <c r="O35" s="126"/>
      <c r="P35" s="126"/>
      <c r="Q35" s="126"/>
      <c r="R35" s="126"/>
    </row>
    <row r="36" spans="1:19" s="31" customFormat="1" ht="18" x14ac:dyDescent="0.2">
      <c r="B36" s="47" t="s">
        <v>795</v>
      </c>
      <c r="C36" s="50"/>
      <c r="D36" s="126"/>
      <c r="E36" s="126"/>
      <c r="F36" s="126"/>
      <c r="G36" s="126"/>
      <c r="H36" s="126"/>
      <c r="I36" s="126"/>
      <c r="J36" s="126"/>
      <c r="K36" s="126"/>
      <c r="L36" s="126"/>
      <c r="M36" s="126"/>
      <c r="N36" s="126"/>
      <c r="O36" s="126"/>
      <c r="P36" s="126"/>
      <c r="Q36" s="126"/>
      <c r="R36" s="126"/>
    </row>
    <row r="37" spans="1:19" s="31" customFormat="1" ht="18" x14ac:dyDescent="0.2">
      <c r="A37" s="47"/>
      <c r="B37" s="65" t="str">
        <f>'Revenue Input'!B33</f>
        <v>8660</v>
      </c>
      <c r="C37" s="65" t="str">
        <f>'Revenue Input'!C33</f>
        <v>Interest</v>
      </c>
      <c r="D37" s="64">
        <f>IF('Revenue Input'!$E33="","",IF('Cash Flow %s Yr2'!D37="","",'Cash Flow %s Yr2'!D37*'Revenue Input'!$E33))</f>
        <v>83</v>
      </c>
      <c r="E37" s="64">
        <f>IF('Revenue Input'!$E33="","",IF('Cash Flow %s Yr2'!E37="","",'Cash Flow %s Yr2'!E37*'Revenue Input'!$E33))</f>
        <v>83</v>
      </c>
      <c r="F37" s="64">
        <f>IF('Revenue Input'!$E33="","",IF('Cash Flow %s Yr2'!F37="","",'Cash Flow %s Yr2'!F37*'Revenue Input'!$E33))</f>
        <v>83</v>
      </c>
      <c r="G37" s="64">
        <f>IF('Revenue Input'!$E33="","",IF('Cash Flow %s Yr2'!G37="","",'Cash Flow %s Yr2'!G37*'Revenue Input'!$E33))</f>
        <v>83</v>
      </c>
      <c r="H37" s="64">
        <f>IF('Revenue Input'!$E33="","",IF('Cash Flow %s Yr2'!H37="","",'Cash Flow %s Yr2'!H37*'Revenue Input'!$E33))</f>
        <v>83</v>
      </c>
      <c r="I37" s="64">
        <f>IF('Revenue Input'!$E33="","",IF('Cash Flow %s Yr2'!I37="","",'Cash Flow %s Yr2'!I37*'Revenue Input'!$E33))</f>
        <v>83</v>
      </c>
      <c r="J37" s="64">
        <f>IF('Revenue Input'!$E33="","",IF('Cash Flow %s Yr2'!J37="","",'Cash Flow %s Yr2'!J37*'Revenue Input'!$E33))</f>
        <v>83</v>
      </c>
      <c r="K37" s="64">
        <f>IF('Revenue Input'!$E33="","",IF('Cash Flow %s Yr2'!K37="","",'Cash Flow %s Yr2'!K37*'Revenue Input'!$E33))</f>
        <v>83</v>
      </c>
      <c r="L37" s="64">
        <f>IF('Revenue Input'!$E33="","",IF('Cash Flow %s Yr2'!L37="","",'Cash Flow %s Yr2'!L37*'Revenue Input'!$E33))</f>
        <v>84</v>
      </c>
      <c r="M37" s="64">
        <f>IF('Revenue Input'!$E33="","",IF('Cash Flow %s Yr2'!M37="","",'Cash Flow %s Yr2'!M37*'Revenue Input'!$E33))</f>
        <v>84</v>
      </c>
      <c r="N37" s="64">
        <f>IF('Revenue Input'!$E33="","",IF('Cash Flow %s Yr2'!N37="","",'Cash Flow %s Yr2'!N37*'Revenue Input'!$E33))</f>
        <v>84</v>
      </c>
      <c r="O37" s="64">
        <f>IF('Revenue Input'!$E33="","",IF('Cash Flow %s Yr2'!O37="","",'Cash Flow %s Yr2'!O37*'Revenue Input'!$E33))</f>
        <v>84</v>
      </c>
      <c r="P37" s="64">
        <f>IF('Revenue Input'!$E33="","",IF('Cash Flow %s Yr2'!P37="","",'Cash Flow %s Yr2'!P37*'Revenue Input'!$E33))</f>
        <v>0</v>
      </c>
      <c r="Q37" s="64">
        <f>IF('Revenue Input'!$E33="","",IF('Cash Flow %s Yr2'!Q37="","",'Cash Flow %s Yr2'!Q37*'Revenue Input'!$E33))</f>
        <v>0</v>
      </c>
      <c r="R37" s="64">
        <f>IF('Revenue Input'!$E33="","",IF('Cash Flow %s Yr2'!R37="","",'Cash Flow %s Yr2'!R37*'Revenue Input'!$E33))</f>
        <v>0</v>
      </c>
      <c r="S37" s="111">
        <f>IF(SUM(D37:R37)&gt;0,SUM(D37:R37)/'Revenue Input'!$E33,"")</f>
        <v>1</v>
      </c>
    </row>
    <row r="38" spans="1:19" s="31" customFormat="1" ht="18" x14ac:dyDescent="0.2">
      <c r="A38" s="47"/>
      <c r="B38" s="65" t="str">
        <f>'Revenue Input'!B34</f>
        <v>8782</v>
      </c>
      <c r="C38" s="65" t="str">
        <f>'Revenue Input'!C34</f>
        <v>All Other Transfers from County Offices</v>
      </c>
      <c r="D38" s="64" t="str">
        <f>IF('Revenue Input'!$E34="","",IF('Cash Flow %s Yr2'!D38="","",'Cash Flow %s Yr2'!D38*'Revenue Input'!$E34))</f>
        <v/>
      </c>
      <c r="E38" s="64" t="str">
        <f>IF('Revenue Input'!$E34="","",IF('Cash Flow %s Yr2'!E38="","",'Cash Flow %s Yr2'!E38*'Revenue Input'!$E34))</f>
        <v/>
      </c>
      <c r="F38" s="64" t="str">
        <f>IF('Revenue Input'!$E34="","",IF('Cash Flow %s Yr2'!F38="","",'Cash Flow %s Yr2'!F38*'Revenue Input'!$E34))</f>
        <v/>
      </c>
      <c r="G38" s="64" t="str">
        <f>IF('Revenue Input'!$E34="","",IF('Cash Flow %s Yr2'!G38="","",'Cash Flow %s Yr2'!G38*'Revenue Input'!$E34))</f>
        <v/>
      </c>
      <c r="H38" s="64" t="str">
        <f>IF('Revenue Input'!$E34="","",IF('Cash Flow %s Yr2'!H38="","",'Cash Flow %s Yr2'!H38*'Revenue Input'!$E34))</f>
        <v/>
      </c>
      <c r="I38" s="64" t="str">
        <f>IF('Revenue Input'!$E34="","",IF('Cash Flow %s Yr2'!I38="","",'Cash Flow %s Yr2'!I38*'Revenue Input'!$E34))</f>
        <v/>
      </c>
      <c r="J38" s="64" t="str">
        <f>IF('Revenue Input'!$E34="","",IF('Cash Flow %s Yr2'!J38="","",'Cash Flow %s Yr2'!J38*'Revenue Input'!$E34))</f>
        <v/>
      </c>
      <c r="K38" s="64" t="str">
        <f>IF('Revenue Input'!$E34="","",IF('Cash Flow %s Yr2'!K38="","",'Cash Flow %s Yr2'!K38*'Revenue Input'!$E34))</f>
        <v/>
      </c>
      <c r="L38" s="64" t="str">
        <f>IF('Revenue Input'!$E34="","",IF('Cash Flow %s Yr2'!L38="","",'Cash Flow %s Yr2'!L38*'Revenue Input'!$E34))</f>
        <v/>
      </c>
      <c r="M38" s="64" t="str">
        <f>IF('Revenue Input'!$E34="","",IF('Cash Flow %s Yr2'!M38="","",'Cash Flow %s Yr2'!M38*'Revenue Input'!$E34))</f>
        <v/>
      </c>
      <c r="N38" s="64" t="str">
        <f>IF('Revenue Input'!$E34="","",IF('Cash Flow %s Yr2'!N38="","",'Cash Flow %s Yr2'!N38*'Revenue Input'!$E34))</f>
        <v/>
      </c>
      <c r="O38" s="64" t="str">
        <f>IF('Revenue Input'!$E34="","",IF('Cash Flow %s Yr2'!O38="","",'Cash Flow %s Yr2'!O38*'Revenue Input'!$E34))</f>
        <v/>
      </c>
      <c r="P38" s="64" t="str">
        <f>IF('Revenue Input'!$E34="","",IF('Cash Flow %s Yr2'!P38="","",'Cash Flow %s Yr2'!P38*'Revenue Input'!$E34))</f>
        <v/>
      </c>
      <c r="Q38" s="64" t="str">
        <f>IF('Revenue Input'!$E34="","",IF('Cash Flow %s Yr2'!Q38="","",'Cash Flow %s Yr2'!Q38*'Revenue Input'!$E34))</f>
        <v/>
      </c>
      <c r="R38" s="64" t="str">
        <f>IF('Revenue Input'!$E34="","",IF('Cash Flow %s Yr2'!R38="","",'Cash Flow %s Yr2'!R38*'Revenue Input'!$E34))</f>
        <v/>
      </c>
      <c r="S38" s="111" t="str">
        <f>IF(SUM(D38:R38)&gt;0,SUM(D38:R38)/'Revenue Input'!$E34,"")</f>
        <v/>
      </c>
    </row>
    <row r="39" spans="1:19" s="31" customFormat="1" ht="18" x14ac:dyDescent="0.2">
      <c r="A39" s="47"/>
      <c r="B39" s="65" t="str">
        <f>'Revenue Input'!B35</f>
        <v>8784</v>
      </c>
      <c r="C39" s="65" t="str">
        <f>'Revenue Input'!C35</f>
        <v>All Other Transfers from Other Locations</v>
      </c>
      <c r="D39" s="64" t="str">
        <f>IF('Revenue Input'!$E35="","",IF('Cash Flow %s Yr2'!D39="","",'Cash Flow %s Yr2'!D39*'Revenue Input'!$E35))</f>
        <v/>
      </c>
      <c r="E39" s="64" t="str">
        <f>IF('Revenue Input'!$E35="","",IF('Cash Flow %s Yr2'!E39="","",'Cash Flow %s Yr2'!E39*'Revenue Input'!$E35))</f>
        <v/>
      </c>
      <c r="F39" s="64" t="str">
        <f>IF('Revenue Input'!$E35="","",IF('Cash Flow %s Yr2'!F39="","",'Cash Flow %s Yr2'!F39*'Revenue Input'!$E35))</f>
        <v/>
      </c>
      <c r="G39" s="64" t="str">
        <f>IF('Revenue Input'!$E35="","",IF('Cash Flow %s Yr2'!G39="","",'Cash Flow %s Yr2'!G39*'Revenue Input'!$E35))</f>
        <v/>
      </c>
      <c r="H39" s="64" t="str">
        <f>IF('Revenue Input'!$E35="","",IF('Cash Flow %s Yr2'!H39="","",'Cash Flow %s Yr2'!H39*'Revenue Input'!$E35))</f>
        <v/>
      </c>
      <c r="I39" s="64" t="str">
        <f>IF('Revenue Input'!$E35="","",IF('Cash Flow %s Yr2'!I39="","",'Cash Flow %s Yr2'!I39*'Revenue Input'!$E35))</f>
        <v/>
      </c>
      <c r="J39" s="64" t="str">
        <f>IF('Revenue Input'!$E35="","",IF('Cash Flow %s Yr2'!J39="","",'Cash Flow %s Yr2'!J39*'Revenue Input'!$E35))</f>
        <v/>
      </c>
      <c r="K39" s="64" t="str">
        <f>IF('Revenue Input'!$E35="","",IF('Cash Flow %s Yr2'!K39="","",'Cash Flow %s Yr2'!K39*'Revenue Input'!$E35))</f>
        <v/>
      </c>
      <c r="L39" s="64" t="str">
        <f>IF('Revenue Input'!$E35="","",IF('Cash Flow %s Yr2'!L39="","",'Cash Flow %s Yr2'!L39*'Revenue Input'!$E35))</f>
        <v/>
      </c>
      <c r="M39" s="64" t="str">
        <f>IF('Revenue Input'!$E35="","",IF('Cash Flow %s Yr2'!M39="","",'Cash Flow %s Yr2'!M39*'Revenue Input'!$E35))</f>
        <v/>
      </c>
      <c r="N39" s="64" t="str">
        <f>IF('Revenue Input'!$E35="","",IF('Cash Flow %s Yr2'!N39="","",'Cash Flow %s Yr2'!N39*'Revenue Input'!$E35))</f>
        <v/>
      </c>
      <c r="O39" s="64" t="str">
        <f>IF('Revenue Input'!$E35="","",IF('Cash Flow %s Yr2'!O39="","",'Cash Flow %s Yr2'!O39*'Revenue Input'!$E35))</f>
        <v/>
      </c>
      <c r="P39" s="64" t="str">
        <f>IF('Revenue Input'!$E35="","",IF('Cash Flow %s Yr2'!P39="","",'Cash Flow %s Yr2'!P39*'Revenue Input'!$E35))</f>
        <v/>
      </c>
      <c r="Q39" s="64" t="str">
        <f>IF('Revenue Input'!$E35="","",IF('Cash Flow %s Yr2'!Q39="","",'Cash Flow %s Yr2'!Q39*'Revenue Input'!$E35))</f>
        <v/>
      </c>
      <c r="R39" s="64" t="str">
        <f>IF('Revenue Input'!$E35="","",IF('Cash Flow %s Yr2'!R39="","",'Cash Flow %s Yr2'!R39*'Revenue Input'!$E35))</f>
        <v/>
      </c>
      <c r="S39" s="111" t="str">
        <f>IF(SUM(D39:R39)&gt;0,SUM(D39:R39)/'Revenue Input'!$E35,"")</f>
        <v/>
      </c>
    </row>
    <row r="40" spans="1:19" s="31" customFormat="1" x14ac:dyDescent="0.2">
      <c r="A40" s="49"/>
      <c r="B40" s="65" t="str">
        <f>'Revenue Input'!B36</f>
        <v>8785</v>
      </c>
      <c r="C40" s="65" t="str">
        <f>'Revenue Input'!C36</f>
        <v>CMO Management fee</v>
      </c>
      <c r="D40" s="64" t="str">
        <f>IF('Revenue Input'!$E36="","",IF('Cash Flow %s Yr2'!D40="","",'Cash Flow %s Yr2'!D40*'Revenue Input'!$E36))</f>
        <v/>
      </c>
      <c r="E40" s="64" t="str">
        <f>IF('Revenue Input'!$E36="","",IF('Cash Flow %s Yr2'!E40="","",'Cash Flow %s Yr2'!E40*'Revenue Input'!$E36))</f>
        <v/>
      </c>
      <c r="F40" s="64" t="str">
        <f>IF('Revenue Input'!$E36="","",IF('Cash Flow %s Yr2'!F40="","",'Cash Flow %s Yr2'!F40*'Revenue Input'!$E36))</f>
        <v/>
      </c>
      <c r="G40" s="64" t="str">
        <f>IF('Revenue Input'!$E36="","",IF('Cash Flow %s Yr2'!G40="","",'Cash Flow %s Yr2'!G40*'Revenue Input'!$E36))</f>
        <v/>
      </c>
      <c r="H40" s="64" t="str">
        <f>IF('Revenue Input'!$E36="","",IF('Cash Flow %s Yr2'!H40="","",'Cash Flow %s Yr2'!H40*'Revenue Input'!$E36))</f>
        <v/>
      </c>
      <c r="I40" s="64" t="str">
        <f>IF('Revenue Input'!$E36="","",IF('Cash Flow %s Yr2'!I40="","",'Cash Flow %s Yr2'!I40*'Revenue Input'!$E36))</f>
        <v/>
      </c>
      <c r="J40" s="64" t="str">
        <f>IF('Revenue Input'!$E36="","",IF('Cash Flow %s Yr2'!J40="","",'Cash Flow %s Yr2'!J40*'Revenue Input'!$E36))</f>
        <v/>
      </c>
      <c r="K40" s="64" t="str">
        <f>IF('Revenue Input'!$E36="","",IF('Cash Flow %s Yr2'!K40="","",'Cash Flow %s Yr2'!K40*'Revenue Input'!$E36))</f>
        <v/>
      </c>
      <c r="L40" s="64" t="str">
        <f>IF('Revenue Input'!$E36="","",IF('Cash Flow %s Yr2'!L40="","",'Cash Flow %s Yr2'!L40*'Revenue Input'!$E36))</f>
        <v/>
      </c>
      <c r="M40" s="64" t="str">
        <f>IF('Revenue Input'!$E36="","",IF('Cash Flow %s Yr2'!M40="","",'Cash Flow %s Yr2'!M40*'Revenue Input'!$E36))</f>
        <v/>
      </c>
      <c r="N40" s="64" t="str">
        <f>IF('Revenue Input'!$E36="","",IF('Cash Flow %s Yr2'!N40="","",'Cash Flow %s Yr2'!N40*'Revenue Input'!$E36))</f>
        <v/>
      </c>
      <c r="O40" s="64" t="str">
        <f>IF('Revenue Input'!$E36="","",IF('Cash Flow %s Yr2'!O40="","",'Cash Flow %s Yr2'!O40*'Revenue Input'!$E36))</f>
        <v/>
      </c>
      <c r="P40" s="64" t="str">
        <f>IF('Revenue Input'!$E36="","",IF('Cash Flow %s Yr2'!P40="","",'Cash Flow %s Yr2'!P40*'Revenue Input'!$E36))</f>
        <v/>
      </c>
      <c r="Q40" s="64" t="str">
        <f>IF('Revenue Input'!$E36="","",IF('Cash Flow %s Yr2'!Q40="","",'Cash Flow %s Yr2'!Q40*'Revenue Input'!$E36))</f>
        <v/>
      </c>
      <c r="R40" s="64" t="str">
        <f>IF('Revenue Input'!$E36="","",IF('Cash Flow %s Yr2'!R40="","",'Cash Flow %s Yr2'!R40*'Revenue Input'!$E36))</f>
        <v/>
      </c>
      <c r="S40" s="111" t="str">
        <f>IF(SUM(D40:R40)&gt;0,SUM(D40:R40)/'Revenue Input'!$E36,"")</f>
        <v/>
      </c>
    </row>
    <row r="41" spans="1:19" s="31" customFormat="1" x14ac:dyDescent="0.2">
      <c r="A41" s="50"/>
      <c r="B41" s="65" t="str">
        <f>'Revenue Input'!B37</f>
        <v>8792</v>
      </c>
      <c r="C41" s="65" t="str">
        <f>'Revenue Input'!C37</f>
        <v>Special Ed - AB 602</v>
      </c>
      <c r="D41" s="64" t="str">
        <f>IF('Revenue Input'!$E37="","",IF('Cash Flow %s Yr2'!D41="","",'Cash Flow %s Yr2'!D41*'Revenue Input'!$E37))</f>
        <v/>
      </c>
      <c r="E41" s="64" t="str">
        <f>IF('Revenue Input'!$E37="","",IF('Cash Flow %s Yr2'!E41="","",'Cash Flow %s Yr2'!E41*'Revenue Input'!$E37))</f>
        <v/>
      </c>
      <c r="F41" s="64" t="str">
        <f>IF('Revenue Input'!$E37="","",IF('Cash Flow %s Yr2'!F41="","",'Cash Flow %s Yr2'!F41*'Revenue Input'!$E37))</f>
        <v/>
      </c>
      <c r="G41" s="64" t="str">
        <f>IF('Revenue Input'!$E37="","",IF('Cash Flow %s Yr2'!G41="","",'Cash Flow %s Yr2'!G41*'Revenue Input'!$E37))</f>
        <v/>
      </c>
      <c r="H41" s="64" t="str">
        <f>IF('Revenue Input'!$E37="","",IF('Cash Flow %s Yr2'!H41="","",'Cash Flow %s Yr2'!H41*'Revenue Input'!$E37))</f>
        <v/>
      </c>
      <c r="I41" s="64" t="str">
        <f>IF('Revenue Input'!$E37="","",IF('Cash Flow %s Yr2'!I41="","",'Cash Flow %s Yr2'!I41*'Revenue Input'!$E37))</f>
        <v/>
      </c>
      <c r="J41" s="64" t="str">
        <f>IF('Revenue Input'!$E37="","",IF('Cash Flow %s Yr2'!J41="","",'Cash Flow %s Yr2'!J41*'Revenue Input'!$E37))</f>
        <v/>
      </c>
      <c r="K41" s="64" t="str">
        <f>IF('Revenue Input'!$E37="","",IF('Cash Flow %s Yr2'!K41="","",'Cash Flow %s Yr2'!K41*'Revenue Input'!$E37))</f>
        <v/>
      </c>
      <c r="L41" s="64" t="str">
        <f>IF('Revenue Input'!$E37="","",IF('Cash Flow %s Yr2'!L41="","",'Cash Flow %s Yr2'!L41*'Revenue Input'!$E37))</f>
        <v/>
      </c>
      <c r="M41" s="64" t="str">
        <f>IF('Revenue Input'!$E37="","",IF('Cash Flow %s Yr2'!M41="","",'Cash Flow %s Yr2'!M41*'Revenue Input'!$E37))</f>
        <v/>
      </c>
      <c r="N41" s="64" t="str">
        <f>IF('Revenue Input'!$E37="","",IF('Cash Flow %s Yr2'!N41="","",'Cash Flow %s Yr2'!N41*'Revenue Input'!$E37))</f>
        <v/>
      </c>
      <c r="O41" s="64" t="str">
        <f>IF('Revenue Input'!$E37="","",IF('Cash Flow %s Yr2'!O41="","",'Cash Flow %s Yr2'!O41*'Revenue Input'!$E37))</f>
        <v/>
      </c>
      <c r="P41" s="64" t="str">
        <f>IF('Revenue Input'!$E37="","",IF('Cash Flow %s Yr2'!P41="","",'Cash Flow %s Yr2'!P41*'Revenue Input'!$E37))</f>
        <v/>
      </c>
      <c r="Q41" s="64" t="str">
        <f>IF('Revenue Input'!$E37="","",IF('Cash Flow %s Yr2'!Q41="","",'Cash Flow %s Yr2'!Q41*'Revenue Input'!$E37))</f>
        <v/>
      </c>
      <c r="R41" s="64" t="str">
        <f>IF('Revenue Input'!$E37="","",IF('Cash Flow %s Yr2'!R41="","",'Cash Flow %s Yr2'!R41*'Revenue Input'!$E37))</f>
        <v/>
      </c>
      <c r="S41" s="111" t="str">
        <f>IF(SUM(D41:R41)&gt;0,SUM(D41:R41)/'Revenue Input'!$E37,"")</f>
        <v/>
      </c>
    </row>
    <row r="42" spans="1:19" s="31" customFormat="1" ht="18" x14ac:dyDescent="0.2">
      <c r="A42" s="47"/>
      <c r="B42" s="65" t="str">
        <f>'Revenue Input'!B38</f>
        <v>8980</v>
      </c>
      <c r="C42" s="65" t="str">
        <f>'Revenue Input'!C38</f>
        <v>Student Lunch Revenue</v>
      </c>
      <c r="D42" s="64" t="str">
        <f>IF('Revenue Input'!$E38="","",IF('Cash Flow %s Yr2'!D42="","",'Cash Flow %s Yr2'!D42*'Revenue Input'!$E38))</f>
        <v/>
      </c>
      <c r="E42" s="64" t="str">
        <f>IF('Revenue Input'!$E38="","",IF('Cash Flow %s Yr2'!E42="","",'Cash Flow %s Yr2'!E42*'Revenue Input'!$E38))</f>
        <v/>
      </c>
      <c r="F42" s="64" t="str">
        <f>IF('Revenue Input'!$E38="","",IF('Cash Flow %s Yr2'!F42="","",'Cash Flow %s Yr2'!F42*'Revenue Input'!$E38))</f>
        <v/>
      </c>
      <c r="G42" s="64" t="str">
        <f>IF('Revenue Input'!$E38="","",IF('Cash Flow %s Yr2'!G42="","",'Cash Flow %s Yr2'!G42*'Revenue Input'!$E38))</f>
        <v/>
      </c>
      <c r="H42" s="64" t="str">
        <f>IF('Revenue Input'!$E38="","",IF('Cash Flow %s Yr2'!H42="","",'Cash Flow %s Yr2'!H42*'Revenue Input'!$E38))</f>
        <v/>
      </c>
      <c r="I42" s="64" t="str">
        <f>IF('Revenue Input'!$E38="","",IF('Cash Flow %s Yr2'!I42="","",'Cash Flow %s Yr2'!I42*'Revenue Input'!$E38))</f>
        <v/>
      </c>
      <c r="J42" s="64" t="str">
        <f>IF('Revenue Input'!$E38="","",IF('Cash Flow %s Yr2'!J42="","",'Cash Flow %s Yr2'!J42*'Revenue Input'!$E38))</f>
        <v/>
      </c>
      <c r="K42" s="64" t="str">
        <f>IF('Revenue Input'!$E38="","",IF('Cash Flow %s Yr2'!K42="","",'Cash Flow %s Yr2'!K42*'Revenue Input'!$E38))</f>
        <v/>
      </c>
      <c r="L42" s="64" t="str">
        <f>IF('Revenue Input'!$E38="","",IF('Cash Flow %s Yr2'!L42="","",'Cash Flow %s Yr2'!L42*'Revenue Input'!$E38))</f>
        <v/>
      </c>
      <c r="M42" s="64" t="str">
        <f>IF('Revenue Input'!$E38="","",IF('Cash Flow %s Yr2'!M42="","",'Cash Flow %s Yr2'!M42*'Revenue Input'!$E38))</f>
        <v/>
      </c>
      <c r="N42" s="64" t="str">
        <f>IF('Revenue Input'!$E38="","",IF('Cash Flow %s Yr2'!N42="","",'Cash Flow %s Yr2'!N42*'Revenue Input'!$E38))</f>
        <v/>
      </c>
      <c r="O42" s="64" t="str">
        <f>IF('Revenue Input'!$E38="","",IF('Cash Flow %s Yr2'!O42="","",'Cash Flow %s Yr2'!O42*'Revenue Input'!$E38))</f>
        <v/>
      </c>
      <c r="P42" s="64" t="str">
        <f>IF('Revenue Input'!$E38="","",IF('Cash Flow %s Yr2'!P42="","",'Cash Flow %s Yr2'!P42*'Revenue Input'!$E38))</f>
        <v/>
      </c>
      <c r="Q42" s="64" t="str">
        <f>IF('Revenue Input'!$E38="","",IF('Cash Flow %s Yr2'!Q42="","",'Cash Flow %s Yr2'!Q42*'Revenue Input'!$E38))</f>
        <v/>
      </c>
      <c r="R42" s="64" t="str">
        <f>IF('Revenue Input'!$E38="","",IF('Cash Flow %s Yr2'!R42="","",'Cash Flow %s Yr2'!R42*'Revenue Input'!$E38))</f>
        <v/>
      </c>
      <c r="S42" s="111" t="str">
        <f>IF(SUM(D42:R42)&gt;0,SUM(D42:R42)/'Revenue Input'!$E38,"")</f>
        <v/>
      </c>
    </row>
    <row r="43" spans="1:19" s="31" customFormat="1" ht="18" x14ac:dyDescent="0.2">
      <c r="A43" s="47"/>
      <c r="B43" s="65" t="str">
        <f>'Revenue Input'!B39</f>
        <v>8982</v>
      </c>
      <c r="C43" s="65" t="str">
        <f>'Revenue Input'!C39</f>
        <v>Foundation Grants</v>
      </c>
      <c r="D43" s="64" t="str">
        <f>IF('Revenue Input'!$E39="","",IF('Cash Flow %s Yr2'!D43="","",'Cash Flow %s Yr2'!D43*'Revenue Input'!$E39))</f>
        <v/>
      </c>
      <c r="E43" s="64" t="str">
        <f>IF('Revenue Input'!$E39="","",IF('Cash Flow %s Yr2'!E43="","",'Cash Flow %s Yr2'!E43*'Revenue Input'!$E39))</f>
        <v/>
      </c>
      <c r="F43" s="64" t="str">
        <f>IF('Revenue Input'!$E39="","",IF('Cash Flow %s Yr2'!F43="","",'Cash Flow %s Yr2'!F43*'Revenue Input'!$E39))</f>
        <v/>
      </c>
      <c r="G43" s="64" t="str">
        <f>IF('Revenue Input'!$E39="","",IF('Cash Flow %s Yr2'!G43="","",'Cash Flow %s Yr2'!G43*'Revenue Input'!$E39))</f>
        <v/>
      </c>
      <c r="H43" s="64" t="str">
        <f>IF('Revenue Input'!$E39="","",IF('Cash Flow %s Yr2'!H43="","",'Cash Flow %s Yr2'!H43*'Revenue Input'!$E39))</f>
        <v/>
      </c>
      <c r="I43" s="64" t="str">
        <f>IF('Revenue Input'!$E39="","",IF('Cash Flow %s Yr2'!I43="","",'Cash Flow %s Yr2'!I43*'Revenue Input'!$E39))</f>
        <v/>
      </c>
      <c r="J43" s="64" t="str">
        <f>IF('Revenue Input'!$E39="","",IF('Cash Flow %s Yr2'!J43="","",'Cash Flow %s Yr2'!J43*'Revenue Input'!$E39))</f>
        <v/>
      </c>
      <c r="K43" s="64" t="str">
        <f>IF('Revenue Input'!$E39="","",IF('Cash Flow %s Yr2'!K43="","",'Cash Flow %s Yr2'!K43*'Revenue Input'!$E39))</f>
        <v/>
      </c>
      <c r="L43" s="64" t="str">
        <f>IF('Revenue Input'!$E39="","",IF('Cash Flow %s Yr2'!L43="","",'Cash Flow %s Yr2'!L43*'Revenue Input'!$E39))</f>
        <v/>
      </c>
      <c r="M43" s="64" t="str">
        <f>IF('Revenue Input'!$E39="","",IF('Cash Flow %s Yr2'!M43="","",'Cash Flow %s Yr2'!M43*'Revenue Input'!$E39))</f>
        <v/>
      </c>
      <c r="N43" s="64" t="str">
        <f>IF('Revenue Input'!$E39="","",IF('Cash Flow %s Yr2'!N43="","",'Cash Flow %s Yr2'!N43*'Revenue Input'!$E39))</f>
        <v/>
      </c>
      <c r="O43" s="64" t="str">
        <f>IF('Revenue Input'!$E39="","",IF('Cash Flow %s Yr2'!O43="","",'Cash Flow %s Yr2'!O43*'Revenue Input'!$E39))</f>
        <v/>
      </c>
      <c r="P43" s="64" t="str">
        <f>IF('Revenue Input'!$E39="","",IF('Cash Flow %s Yr2'!P43="","",'Cash Flow %s Yr2'!P43*'Revenue Input'!$E39))</f>
        <v/>
      </c>
      <c r="Q43" s="64" t="str">
        <f>IF('Revenue Input'!$E39="","",IF('Cash Flow %s Yr2'!Q43="","",'Cash Flow %s Yr2'!Q43*'Revenue Input'!$E39))</f>
        <v/>
      </c>
      <c r="R43" s="64" t="str">
        <f>IF('Revenue Input'!$E39="","",IF('Cash Flow %s Yr2'!R43="","",'Cash Flow %s Yr2'!R43*'Revenue Input'!$E39))</f>
        <v/>
      </c>
      <c r="S43" s="111" t="str">
        <f>IF(SUM(D43:R43)&gt;0,SUM(D43:R43)/'Revenue Input'!$E39,"")</f>
        <v/>
      </c>
    </row>
    <row r="44" spans="1:19" s="31" customFormat="1" ht="18" x14ac:dyDescent="0.2">
      <c r="A44" s="47"/>
      <c r="B44" s="65" t="str">
        <f>'Revenue Input'!B40</f>
        <v>8983</v>
      </c>
      <c r="C44" s="65" t="str">
        <f>'Revenue Input'!C40</f>
        <v>All Other Local Revenue</v>
      </c>
      <c r="D44" s="64" t="str">
        <f>IF('Revenue Input'!$E40="","",IF('Cash Flow %s Yr2'!D44="","",'Cash Flow %s Yr2'!D44*'Revenue Input'!$E40))</f>
        <v/>
      </c>
      <c r="E44" s="64" t="str">
        <f>IF('Revenue Input'!$E40="","",IF('Cash Flow %s Yr2'!E44="","",'Cash Flow %s Yr2'!E44*'Revenue Input'!$E40))</f>
        <v/>
      </c>
      <c r="F44" s="64" t="str">
        <f>IF('Revenue Input'!$E40="","",IF('Cash Flow %s Yr2'!F44="","",'Cash Flow %s Yr2'!F44*'Revenue Input'!$E40))</f>
        <v/>
      </c>
      <c r="G44" s="64" t="str">
        <f>IF('Revenue Input'!$E40="","",IF('Cash Flow %s Yr2'!G44="","",'Cash Flow %s Yr2'!G44*'Revenue Input'!$E40))</f>
        <v/>
      </c>
      <c r="H44" s="64" t="str">
        <f>IF('Revenue Input'!$E40="","",IF('Cash Flow %s Yr2'!H44="","",'Cash Flow %s Yr2'!H44*'Revenue Input'!$E40))</f>
        <v/>
      </c>
      <c r="I44" s="64" t="str">
        <f>IF('Revenue Input'!$E40="","",IF('Cash Flow %s Yr2'!I44="","",'Cash Flow %s Yr2'!I44*'Revenue Input'!$E40))</f>
        <v/>
      </c>
      <c r="J44" s="64" t="str">
        <f>IF('Revenue Input'!$E40="","",IF('Cash Flow %s Yr2'!J44="","",'Cash Flow %s Yr2'!J44*'Revenue Input'!$E40))</f>
        <v/>
      </c>
      <c r="K44" s="64" t="str">
        <f>IF('Revenue Input'!$E40="","",IF('Cash Flow %s Yr2'!K44="","",'Cash Flow %s Yr2'!K44*'Revenue Input'!$E40))</f>
        <v/>
      </c>
      <c r="L44" s="64" t="str">
        <f>IF('Revenue Input'!$E40="","",IF('Cash Flow %s Yr2'!L44="","",'Cash Flow %s Yr2'!L44*'Revenue Input'!$E40))</f>
        <v/>
      </c>
      <c r="M44" s="64" t="str">
        <f>IF('Revenue Input'!$E40="","",IF('Cash Flow %s Yr2'!M44="","",'Cash Flow %s Yr2'!M44*'Revenue Input'!$E40))</f>
        <v/>
      </c>
      <c r="N44" s="64" t="str">
        <f>IF('Revenue Input'!$E40="","",IF('Cash Flow %s Yr2'!N44="","",'Cash Flow %s Yr2'!N44*'Revenue Input'!$E40))</f>
        <v/>
      </c>
      <c r="O44" s="64" t="str">
        <f>IF('Revenue Input'!$E40="","",IF('Cash Flow %s Yr2'!O44="","",'Cash Flow %s Yr2'!O44*'Revenue Input'!$E40))</f>
        <v/>
      </c>
      <c r="P44" s="64" t="str">
        <f>IF('Revenue Input'!$E40="","",IF('Cash Flow %s Yr2'!P44="","",'Cash Flow %s Yr2'!P44*'Revenue Input'!$E40))</f>
        <v/>
      </c>
      <c r="Q44" s="64" t="str">
        <f>IF('Revenue Input'!$E40="","",IF('Cash Flow %s Yr2'!Q44="","",'Cash Flow %s Yr2'!Q44*'Revenue Input'!$E40))</f>
        <v/>
      </c>
      <c r="R44" s="64" t="str">
        <f>IF('Revenue Input'!$E40="","",IF('Cash Flow %s Yr2'!R44="","",'Cash Flow %s Yr2'!R44*'Revenue Input'!$E40))</f>
        <v/>
      </c>
      <c r="S44" s="111" t="str">
        <f>IF(SUM(D44:R44)&gt;0,SUM(D44:R44)/'Revenue Input'!$E40,"")</f>
        <v/>
      </c>
    </row>
    <row r="45" spans="1:19" s="31" customFormat="1" ht="18" x14ac:dyDescent="0.2">
      <c r="A45" s="47"/>
      <c r="B45" s="65" t="str">
        <f>'Revenue Input'!B41</f>
        <v>8984</v>
      </c>
      <c r="C45" s="65" t="str">
        <f>'Revenue Input'!C41</f>
        <v>Student Body (ASB) Fundraising Revenue</v>
      </c>
      <c r="D45" s="64" t="str">
        <f>IF('Revenue Input'!$E41="","",IF('Cash Flow %s Yr2'!D45="","",'Cash Flow %s Yr2'!D45*'Revenue Input'!$E41))</f>
        <v/>
      </c>
      <c r="E45" s="64" t="str">
        <f>IF('Revenue Input'!$E41="","",IF('Cash Flow %s Yr2'!E45="","",'Cash Flow %s Yr2'!E45*'Revenue Input'!$E41))</f>
        <v/>
      </c>
      <c r="F45" s="64" t="str">
        <f>IF('Revenue Input'!$E41="","",IF('Cash Flow %s Yr2'!F45="","",'Cash Flow %s Yr2'!F45*'Revenue Input'!$E41))</f>
        <v/>
      </c>
      <c r="G45" s="64" t="str">
        <f>IF('Revenue Input'!$E41="","",IF('Cash Flow %s Yr2'!G45="","",'Cash Flow %s Yr2'!G45*'Revenue Input'!$E41))</f>
        <v/>
      </c>
      <c r="H45" s="64" t="str">
        <f>IF('Revenue Input'!$E41="","",IF('Cash Flow %s Yr2'!H45="","",'Cash Flow %s Yr2'!H45*'Revenue Input'!$E41))</f>
        <v/>
      </c>
      <c r="I45" s="64" t="str">
        <f>IF('Revenue Input'!$E41="","",IF('Cash Flow %s Yr2'!I45="","",'Cash Flow %s Yr2'!I45*'Revenue Input'!$E41))</f>
        <v/>
      </c>
      <c r="J45" s="64" t="str">
        <f>IF('Revenue Input'!$E41="","",IF('Cash Flow %s Yr2'!J45="","",'Cash Flow %s Yr2'!J45*'Revenue Input'!$E41))</f>
        <v/>
      </c>
      <c r="K45" s="64" t="str">
        <f>IF('Revenue Input'!$E41="","",IF('Cash Flow %s Yr2'!K45="","",'Cash Flow %s Yr2'!K45*'Revenue Input'!$E41))</f>
        <v/>
      </c>
      <c r="L45" s="64" t="str">
        <f>IF('Revenue Input'!$E41="","",IF('Cash Flow %s Yr2'!L45="","",'Cash Flow %s Yr2'!L45*'Revenue Input'!$E41))</f>
        <v/>
      </c>
      <c r="M45" s="64" t="str">
        <f>IF('Revenue Input'!$E41="","",IF('Cash Flow %s Yr2'!M45="","",'Cash Flow %s Yr2'!M45*'Revenue Input'!$E41))</f>
        <v/>
      </c>
      <c r="N45" s="64" t="str">
        <f>IF('Revenue Input'!$E41="","",IF('Cash Flow %s Yr2'!N45="","",'Cash Flow %s Yr2'!N45*'Revenue Input'!$E41))</f>
        <v/>
      </c>
      <c r="O45" s="64" t="str">
        <f>IF('Revenue Input'!$E41="","",IF('Cash Flow %s Yr2'!O45="","",'Cash Flow %s Yr2'!O45*'Revenue Input'!$E41))</f>
        <v/>
      </c>
      <c r="P45" s="64" t="str">
        <f>IF('Revenue Input'!$E41="","",IF('Cash Flow %s Yr2'!P45="","",'Cash Flow %s Yr2'!P45*'Revenue Input'!$E41))</f>
        <v/>
      </c>
      <c r="Q45" s="64" t="str">
        <f>IF('Revenue Input'!$E41="","",IF('Cash Flow %s Yr2'!Q45="","",'Cash Flow %s Yr2'!Q45*'Revenue Input'!$E41))</f>
        <v/>
      </c>
      <c r="R45" s="64" t="str">
        <f>IF('Revenue Input'!$E41="","",IF('Cash Flow %s Yr2'!R45="","",'Cash Flow %s Yr2'!R45*'Revenue Input'!$E41))</f>
        <v/>
      </c>
      <c r="S45" s="111" t="str">
        <f>IF(SUM(D45:R45)&gt;0,SUM(D45:R45)/'Revenue Input'!$E41,"")</f>
        <v/>
      </c>
    </row>
    <row r="46" spans="1:19" s="31" customFormat="1" ht="18" x14ac:dyDescent="0.2">
      <c r="A46" s="47"/>
      <c r="B46" s="65" t="str">
        <f>'Revenue Input'!B42</f>
        <v>8985</v>
      </c>
      <c r="C46" s="65" t="str">
        <f>'Revenue Input'!C42</f>
        <v>School Site Fundraising</v>
      </c>
      <c r="D46" s="64">
        <f>IF('Revenue Input'!$E42="","",IF('Cash Flow %s Yr2'!D49="","",'Cash Flow %s Yr2'!D49*'Revenue Input'!$E42))</f>
        <v>0</v>
      </c>
      <c r="E46" s="64">
        <f>IF('Revenue Input'!$E42="","",IF('Cash Flow %s Yr2'!E49="","",'Cash Flow %s Yr2'!E49*'Revenue Input'!$E42))</f>
        <v>0</v>
      </c>
      <c r="F46" s="64">
        <f>IF('Revenue Input'!$E42="","",IF('Cash Flow %s Yr2'!F49="","",'Cash Flow %s Yr2'!F49*'Revenue Input'!$E42))</f>
        <v>5000</v>
      </c>
      <c r="G46" s="64">
        <f>IF('Revenue Input'!$E42="","",IF('Cash Flow %s Yr2'!G49="","",'Cash Flow %s Yr2'!G49*'Revenue Input'!$E42))</f>
        <v>5000</v>
      </c>
      <c r="H46" s="64">
        <f>IF('Revenue Input'!$E42="","",IF('Cash Flow %s Yr2'!H49="","",'Cash Flow %s Yr2'!H49*'Revenue Input'!$E42))</f>
        <v>5000</v>
      </c>
      <c r="I46" s="64">
        <f>IF('Revenue Input'!$E42="","",IF('Cash Flow %s Yr2'!I49="","",'Cash Flow %s Yr2'!I49*'Revenue Input'!$E42))</f>
        <v>5000</v>
      </c>
      <c r="J46" s="64">
        <f>IF('Revenue Input'!$E42="","",IF('Cash Flow %s Yr2'!J49="","",'Cash Flow %s Yr2'!J49*'Revenue Input'!$E42))</f>
        <v>5000</v>
      </c>
      <c r="K46" s="64">
        <f>IF('Revenue Input'!$E42="","",IF('Cash Flow %s Yr2'!K49="","",'Cash Flow %s Yr2'!K49*'Revenue Input'!$E42))</f>
        <v>5000</v>
      </c>
      <c r="L46" s="64">
        <f>IF('Revenue Input'!$E42="","",IF('Cash Flow %s Yr2'!L49="","",'Cash Flow %s Yr2'!L49*'Revenue Input'!$E42))</f>
        <v>5000</v>
      </c>
      <c r="M46" s="64">
        <f>IF('Revenue Input'!$E42="","",IF('Cash Flow %s Yr2'!M49="","",'Cash Flow %s Yr2'!M49*'Revenue Input'!$E42))</f>
        <v>5000</v>
      </c>
      <c r="N46" s="64">
        <f>IF('Revenue Input'!$E42="","",IF('Cash Flow %s Yr2'!N49="","",'Cash Flow %s Yr2'!N49*'Revenue Input'!$E42))</f>
        <v>5000</v>
      </c>
      <c r="O46" s="64">
        <f>IF('Revenue Input'!$E42="","",IF('Cash Flow %s Yr2'!O49="","",'Cash Flow %s Yr2'!O49*'Revenue Input'!$E42))</f>
        <v>5000</v>
      </c>
      <c r="P46" s="64">
        <f>IF('Revenue Input'!$E42="","",IF('Cash Flow %s Yr2'!P49="","",'Cash Flow %s Yr2'!P49*'Revenue Input'!$E42))</f>
        <v>0</v>
      </c>
      <c r="Q46" s="64">
        <f>IF('Revenue Input'!$E42="","",IF('Cash Flow %s Yr2'!Q49="","",'Cash Flow %s Yr2'!Q49*'Revenue Input'!$E42))</f>
        <v>0</v>
      </c>
      <c r="R46" s="64">
        <f>IF('Revenue Input'!$E42="","",IF('Cash Flow %s Yr2'!R49="","",'Cash Flow %s Yr2'!R49*'Revenue Input'!$E42))</f>
        <v>0</v>
      </c>
      <c r="S46" s="111">
        <f>IF(SUM(D46:R46)&gt;0,SUM(D46:R46)/'Revenue Input'!$E42,"")</f>
        <v>1</v>
      </c>
    </row>
    <row r="47" spans="1:19" s="31" customFormat="1" ht="18" x14ac:dyDescent="0.2">
      <c r="A47" s="47"/>
      <c r="B47" s="65" t="str">
        <f>'Revenue Input'!B43</f>
        <v>8986</v>
      </c>
      <c r="C47" s="65" t="str">
        <f>'Revenue Input'!C43</f>
        <v>Rental Income</v>
      </c>
      <c r="D47" s="64" t="str">
        <f>IF('Revenue Input'!$E43="","",IF('Cash Flow %s Yr2'!D50="","",'Cash Flow %s Yr2'!D50*'Revenue Input'!$E43))</f>
        <v/>
      </c>
      <c r="E47" s="64" t="str">
        <f>IF('Revenue Input'!$E43="","",IF('Cash Flow %s Yr2'!E50="","",'Cash Flow %s Yr2'!E50*'Revenue Input'!$E43))</f>
        <v/>
      </c>
      <c r="F47" s="64" t="str">
        <f>IF('Revenue Input'!$E43="","",IF('Cash Flow %s Yr2'!F50="","",'Cash Flow %s Yr2'!F50*'Revenue Input'!$E43))</f>
        <v/>
      </c>
      <c r="G47" s="64" t="str">
        <f>IF('Revenue Input'!$E43="","",IF('Cash Flow %s Yr2'!G50="","",'Cash Flow %s Yr2'!G50*'Revenue Input'!$E43))</f>
        <v/>
      </c>
      <c r="H47" s="64" t="str">
        <f>IF('Revenue Input'!$E43="","",IF('Cash Flow %s Yr2'!H50="","",'Cash Flow %s Yr2'!H50*'Revenue Input'!$E43))</f>
        <v/>
      </c>
      <c r="I47" s="64" t="str">
        <f>IF('Revenue Input'!$E43="","",IF('Cash Flow %s Yr2'!I50="","",'Cash Flow %s Yr2'!I50*'Revenue Input'!$E43))</f>
        <v/>
      </c>
      <c r="J47" s="64" t="str">
        <f>IF('Revenue Input'!$E43="","",IF('Cash Flow %s Yr2'!J50="","",'Cash Flow %s Yr2'!J50*'Revenue Input'!$E43))</f>
        <v/>
      </c>
      <c r="K47" s="64" t="str">
        <f>IF('Revenue Input'!$E43="","",IF('Cash Flow %s Yr2'!K50="","",'Cash Flow %s Yr2'!K50*'Revenue Input'!$E43))</f>
        <v/>
      </c>
      <c r="L47" s="64" t="str">
        <f>IF('Revenue Input'!$E43="","",IF('Cash Flow %s Yr2'!L50="","",'Cash Flow %s Yr2'!L50*'Revenue Input'!$E43))</f>
        <v/>
      </c>
      <c r="M47" s="64" t="str">
        <f>IF('Revenue Input'!$E43="","",IF('Cash Flow %s Yr2'!M50="","",'Cash Flow %s Yr2'!M50*'Revenue Input'!$E43))</f>
        <v/>
      </c>
      <c r="N47" s="64" t="str">
        <f>IF('Revenue Input'!$E43="","",IF('Cash Flow %s Yr2'!N50="","",'Cash Flow %s Yr2'!N50*'Revenue Input'!$E43))</f>
        <v/>
      </c>
      <c r="O47" s="64" t="str">
        <f>IF('Revenue Input'!$E43="","",IF('Cash Flow %s Yr2'!O50="","",'Cash Flow %s Yr2'!O50*'Revenue Input'!$E43))</f>
        <v/>
      </c>
      <c r="P47" s="64" t="str">
        <f>IF('Revenue Input'!$E43="","",IF('Cash Flow %s Yr2'!P50="","",'Cash Flow %s Yr2'!P50*'Revenue Input'!$E43))</f>
        <v/>
      </c>
      <c r="Q47" s="64" t="str">
        <f>IF('Revenue Input'!$E43="","",IF('Cash Flow %s Yr2'!Q50="","",'Cash Flow %s Yr2'!Q50*'Revenue Input'!$E43))</f>
        <v/>
      </c>
      <c r="R47" s="64" t="str">
        <f>IF('Revenue Input'!$E43="","",IF('Cash Flow %s Yr2'!R50="","",'Cash Flow %s Yr2'!R50*'Revenue Input'!$E43))</f>
        <v/>
      </c>
      <c r="S47" s="111" t="str">
        <f>IF(SUM(D47:R47)&gt;0,SUM(D47:R47)/'Revenue Input'!$E43,"")</f>
        <v/>
      </c>
    </row>
    <row r="48" spans="1:19" s="31" customFormat="1" ht="18" x14ac:dyDescent="0.2">
      <c r="A48" s="47"/>
      <c r="B48" s="65" t="str">
        <f>'Revenue Input'!B44</f>
        <v>8989</v>
      </c>
      <c r="C48" s="65" t="str">
        <f>'Revenue Input'!C44</f>
        <v>Fees for Service</v>
      </c>
      <c r="D48" s="64" t="str">
        <f>IF('Revenue Input'!$E44="","",IF('Cash Flow %s Yr2'!D51="","",'Cash Flow %s Yr2'!D51*'Revenue Input'!$E44))</f>
        <v/>
      </c>
      <c r="E48" s="64" t="str">
        <f>IF('Revenue Input'!$E44="","",IF('Cash Flow %s Yr2'!E51="","",'Cash Flow %s Yr2'!E51*'Revenue Input'!$E44))</f>
        <v/>
      </c>
      <c r="F48" s="64" t="str">
        <f>IF('Revenue Input'!$E44="","",IF('Cash Flow %s Yr2'!F51="","",'Cash Flow %s Yr2'!F51*'Revenue Input'!$E44))</f>
        <v/>
      </c>
      <c r="G48" s="64" t="str">
        <f>IF('Revenue Input'!$E44="","",IF('Cash Flow %s Yr2'!G51="","",'Cash Flow %s Yr2'!G51*'Revenue Input'!$E44))</f>
        <v/>
      </c>
      <c r="H48" s="64" t="str">
        <f>IF('Revenue Input'!$E44="","",IF('Cash Flow %s Yr2'!H51="","",'Cash Flow %s Yr2'!H51*'Revenue Input'!$E44))</f>
        <v/>
      </c>
      <c r="I48" s="64" t="str">
        <f>IF('Revenue Input'!$E44="","",IF('Cash Flow %s Yr2'!I51="","",'Cash Flow %s Yr2'!I51*'Revenue Input'!$E44))</f>
        <v/>
      </c>
      <c r="J48" s="64" t="str">
        <f>IF('Revenue Input'!$E44="","",IF('Cash Flow %s Yr2'!J51="","",'Cash Flow %s Yr2'!J51*'Revenue Input'!$E44))</f>
        <v/>
      </c>
      <c r="K48" s="64" t="str">
        <f>IF('Revenue Input'!$E44="","",IF('Cash Flow %s Yr2'!K51="","",'Cash Flow %s Yr2'!K51*'Revenue Input'!$E44))</f>
        <v/>
      </c>
      <c r="L48" s="64" t="str">
        <f>IF('Revenue Input'!$E44="","",IF('Cash Flow %s Yr2'!L51="","",'Cash Flow %s Yr2'!L51*'Revenue Input'!$E44))</f>
        <v/>
      </c>
      <c r="M48" s="64" t="str">
        <f>IF('Revenue Input'!$E44="","",IF('Cash Flow %s Yr2'!M51="","",'Cash Flow %s Yr2'!M51*'Revenue Input'!$E44))</f>
        <v/>
      </c>
      <c r="N48" s="64" t="str">
        <f>IF('Revenue Input'!$E44="","",IF('Cash Flow %s Yr2'!N51="","",'Cash Flow %s Yr2'!N51*'Revenue Input'!$E44))</f>
        <v/>
      </c>
      <c r="O48" s="64" t="str">
        <f>IF('Revenue Input'!$E44="","",IF('Cash Flow %s Yr2'!O51="","",'Cash Flow %s Yr2'!O51*'Revenue Input'!$E44))</f>
        <v/>
      </c>
      <c r="P48" s="64" t="str">
        <f>IF('Revenue Input'!$E44="","",IF('Cash Flow %s Yr2'!P51="","",'Cash Flow %s Yr2'!P51*'Revenue Input'!$E44))</f>
        <v/>
      </c>
      <c r="Q48" s="64" t="str">
        <f>IF('Revenue Input'!$E44="","",IF('Cash Flow %s Yr2'!Q51="","",'Cash Flow %s Yr2'!Q51*'Revenue Input'!$E44))</f>
        <v/>
      </c>
      <c r="R48" s="64" t="str">
        <f>IF('Revenue Input'!$E44="","",IF('Cash Flow %s Yr2'!R51="","",'Cash Flow %s Yr2'!R51*'Revenue Input'!$E44))</f>
        <v/>
      </c>
      <c r="S48" s="111" t="str">
        <f>IF(SUM(D48:R48)&gt;0,SUM(D48:R48)/'Revenue Input'!$E44,"")</f>
        <v/>
      </c>
    </row>
    <row r="49" spans="1:19" s="31" customFormat="1" ht="18" x14ac:dyDescent="0.2">
      <c r="A49" s="47"/>
      <c r="B49" s="65" t="str">
        <f>'Revenue Input'!B45</f>
        <v>8999</v>
      </c>
      <c r="C49" s="65" t="str">
        <f>'Revenue Input'!C45</f>
        <v>Revenue Suspense</v>
      </c>
      <c r="D49" s="64" t="str">
        <f>IF('Revenue Input'!$E45="","",IF('Cash Flow %s Yr2'!D52="","",'Cash Flow %s Yr2'!D52*'Revenue Input'!$E45))</f>
        <v/>
      </c>
      <c r="E49" s="64" t="str">
        <f>IF('Revenue Input'!$E45="","",IF('Cash Flow %s Yr2'!E52="","",'Cash Flow %s Yr2'!E52*'Revenue Input'!$E45))</f>
        <v/>
      </c>
      <c r="F49" s="64" t="str">
        <f>IF('Revenue Input'!$E45="","",IF('Cash Flow %s Yr2'!F52="","",'Cash Flow %s Yr2'!F52*'Revenue Input'!$E45))</f>
        <v/>
      </c>
      <c r="G49" s="64" t="str">
        <f>IF('Revenue Input'!$E45="","",IF('Cash Flow %s Yr2'!G52="","",'Cash Flow %s Yr2'!G52*'Revenue Input'!$E45))</f>
        <v/>
      </c>
      <c r="H49" s="64" t="str">
        <f>IF('Revenue Input'!$E45="","",IF('Cash Flow %s Yr2'!H52="","",'Cash Flow %s Yr2'!H52*'Revenue Input'!$E45))</f>
        <v/>
      </c>
      <c r="I49" s="64" t="str">
        <f>IF('Revenue Input'!$E45="","",IF('Cash Flow %s Yr2'!I52="","",'Cash Flow %s Yr2'!I52*'Revenue Input'!$E45))</f>
        <v/>
      </c>
      <c r="J49" s="64" t="str">
        <f>IF('Revenue Input'!$E45="","",IF('Cash Flow %s Yr2'!J52="","",'Cash Flow %s Yr2'!J52*'Revenue Input'!$E45))</f>
        <v/>
      </c>
      <c r="K49" s="64" t="str">
        <f>IF('Revenue Input'!$E45="","",IF('Cash Flow %s Yr2'!K52="","",'Cash Flow %s Yr2'!K52*'Revenue Input'!$E45))</f>
        <v/>
      </c>
      <c r="L49" s="64" t="str">
        <f>IF('Revenue Input'!$E45="","",IF('Cash Flow %s Yr2'!L52="","",'Cash Flow %s Yr2'!L52*'Revenue Input'!$E45))</f>
        <v/>
      </c>
      <c r="M49" s="64" t="str">
        <f>IF('Revenue Input'!$E45="","",IF('Cash Flow %s Yr2'!M52="","",'Cash Flow %s Yr2'!M52*'Revenue Input'!$E45))</f>
        <v/>
      </c>
      <c r="N49" s="64" t="str">
        <f>IF('Revenue Input'!$E45="","",IF('Cash Flow %s Yr2'!N52="","",'Cash Flow %s Yr2'!N52*'Revenue Input'!$E45))</f>
        <v/>
      </c>
      <c r="O49" s="64" t="str">
        <f>IF('Revenue Input'!$E45="","",IF('Cash Flow %s Yr2'!O52="","",'Cash Flow %s Yr2'!O52*'Revenue Input'!$E45))</f>
        <v/>
      </c>
      <c r="P49" s="64" t="str">
        <f>IF('Revenue Input'!$E45="","",IF('Cash Flow %s Yr2'!P52="","",'Cash Flow %s Yr2'!P52*'Revenue Input'!$E45))</f>
        <v/>
      </c>
      <c r="Q49" s="64" t="str">
        <f>IF('Revenue Input'!$E45="","",IF('Cash Flow %s Yr2'!Q52="","",'Cash Flow %s Yr2'!Q52*'Revenue Input'!$E45))</f>
        <v/>
      </c>
      <c r="R49" s="64" t="str">
        <f>IF('Revenue Input'!$E45="","",IF('Cash Flow %s Yr2'!R52="","",'Cash Flow %s Yr2'!R52*'Revenue Input'!$E45))</f>
        <v/>
      </c>
      <c r="S49" s="111" t="str">
        <f>IF(SUM(D49:R49)&gt;0,SUM(D49:R49)/'Revenue Input'!$E45,"")</f>
        <v/>
      </c>
    </row>
    <row r="50" spans="1:19" s="31" customFormat="1" ht="18" x14ac:dyDescent="0.2">
      <c r="A50" s="47"/>
      <c r="B50" s="72"/>
      <c r="C50" s="34" t="s">
        <v>721</v>
      </c>
      <c r="D50" s="192">
        <f t="shared" ref="D50:R50" si="2">SUM(D37:D49)</f>
        <v>83</v>
      </c>
      <c r="E50" s="192">
        <f t="shared" si="2"/>
        <v>83</v>
      </c>
      <c r="F50" s="192">
        <f t="shared" si="2"/>
        <v>5083</v>
      </c>
      <c r="G50" s="192">
        <f t="shared" si="2"/>
        <v>5083</v>
      </c>
      <c r="H50" s="192">
        <f t="shared" si="2"/>
        <v>5083</v>
      </c>
      <c r="I50" s="192">
        <f t="shared" si="2"/>
        <v>5083</v>
      </c>
      <c r="J50" s="192">
        <f t="shared" si="2"/>
        <v>5083</v>
      </c>
      <c r="K50" s="192">
        <f t="shared" si="2"/>
        <v>5083</v>
      </c>
      <c r="L50" s="192">
        <f t="shared" si="2"/>
        <v>5084</v>
      </c>
      <c r="M50" s="192">
        <f t="shared" si="2"/>
        <v>5084</v>
      </c>
      <c r="N50" s="192">
        <f t="shared" si="2"/>
        <v>5084</v>
      </c>
      <c r="O50" s="192">
        <f t="shared" si="2"/>
        <v>5084</v>
      </c>
      <c r="P50" s="192">
        <f t="shared" si="2"/>
        <v>0</v>
      </c>
      <c r="Q50" s="192">
        <f t="shared" si="2"/>
        <v>0</v>
      </c>
      <c r="R50" s="192">
        <f t="shared" si="2"/>
        <v>0</v>
      </c>
      <c r="S50" s="107"/>
    </row>
    <row r="51" spans="1:19" s="31" customFormat="1" ht="18" x14ac:dyDescent="0.2">
      <c r="A51" s="47"/>
      <c r="B51" s="49" t="s">
        <v>677</v>
      </c>
      <c r="C51" s="50"/>
      <c r="D51" s="193">
        <f t="shared" ref="D51:R51" si="3">SUM(D50,D34,D23)</f>
        <v>5026.9049999999997</v>
      </c>
      <c r="E51" s="193">
        <f t="shared" si="3"/>
        <v>73760.700425396004</v>
      </c>
      <c r="F51" s="193">
        <f t="shared" si="3"/>
        <v>55535.951605396003</v>
      </c>
      <c r="G51" s="193">
        <f t="shared" si="3"/>
        <v>111598.3097777128</v>
      </c>
      <c r="H51" s="193">
        <f t="shared" si="3"/>
        <v>83824.097277712804</v>
      </c>
      <c r="I51" s="193">
        <f t="shared" si="3"/>
        <v>80775.517477712798</v>
      </c>
      <c r="J51" s="193">
        <f t="shared" si="3"/>
        <v>111598.3097777128</v>
      </c>
      <c r="K51" s="193">
        <f t="shared" si="3"/>
        <v>109358.35300771281</v>
      </c>
      <c r="L51" s="193">
        <f t="shared" si="3"/>
        <v>71062.053872712801</v>
      </c>
      <c r="M51" s="193">
        <f t="shared" si="3"/>
        <v>113247.2925727128</v>
      </c>
      <c r="N51" s="193">
        <f t="shared" si="3"/>
        <v>80412.772572712798</v>
      </c>
      <c r="O51" s="193">
        <f t="shared" si="3"/>
        <v>70648.110072712807</v>
      </c>
      <c r="P51" s="193">
        <f t="shared" si="3"/>
        <v>84277.019637712801</v>
      </c>
      <c r="Q51" s="193">
        <f t="shared" si="3"/>
        <v>58712.96678284715</v>
      </c>
      <c r="R51" s="193">
        <f t="shared" si="3"/>
        <v>0</v>
      </c>
      <c r="S51" s="107"/>
    </row>
    <row r="52" spans="1:19" s="31" customFormat="1" ht="18" x14ac:dyDescent="0.2">
      <c r="A52" s="47"/>
      <c r="B52" s="72"/>
      <c r="C52" s="50"/>
      <c r="D52" s="127"/>
      <c r="E52" s="127"/>
      <c r="F52" s="127"/>
      <c r="G52" s="127"/>
      <c r="H52" s="127"/>
      <c r="I52" s="127"/>
      <c r="J52" s="127"/>
      <c r="K52" s="127"/>
      <c r="L52" s="127"/>
      <c r="M52" s="127"/>
      <c r="N52" s="127"/>
      <c r="O52" s="127"/>
      <c r="P52" s="127"/>
      <c r="Q52" s="127"/>
      <c r="R52" s="127"/>
    </row>
    <row r="53" spans="1:19" s="31" customFormat="1" ht="18" x14ac:dyDescent="0.2">
      <c r="A53" s="47" t="s">
        <v>802</v>
      </c>
      <c r="B53" s="73"/>
      <c r="C53" s="34"/>
      <c r="D53" s="128"/>
      <c r="E53" s="128"/>
      <c r="F53" s="128"/>
      <c r="G53" s="128"/>
      <c r="H53" s="128"/>
      <c r="I53" s="128"/>
      <c r="J53" s="128"/>
      <c r="K53" s="128"/>
      <c r="L53" s="128"/>
      <c r="M53" s="128"/>
      <c r="N53" s="128"/>
      <c r="O53" s="128"/>
      <c r="P53" s="128"/>
      <c r="Q53" s="128"/>
      <c r="R53" s="128"/>
    </row>
    <row r="54" spans="1:19" x14ac:dyDescent="0.2">
      <c r="A54" s="1"/>
      <c r="B54" s="34" t="s">
        <v>733</v>
      </c>
      <c r="C54" s="3"/>
      <c r="D54" s="107"/>
      <c r="E54" s="107"/>
      <c r="F54" s="107"/>
      <c r="G54" s="107"/>
      <c r="H54" s="107"/>
      <c r="I54" s="107"/>
      <c r="J54" s="107"/>
      <c r="K54" s="107"/>
      <c r="L54" s="107"/>
      <c r="M54" s="107"/>
      <c r="N54" s="107"/>
      <c r="O54" s="107"/>
      <c r="P54" s="107"/>
      <c r="Q54" s="107"/>
      <c r="R54" s="107"/>
    </row>
    <row r="55" spans="1:19" x14ac:dyDescent="0.2">
      <c r="A55" s="36"/>
      <c r="B55" s="67" t="str">
        <f>'Expenses Summary'!B8</f>
        <v>1100</v>
      </c>
      <c r="C55" s="67" t="str">
        <f>'Expenses Summary'!C8</f>
        <v>Teachers'  Salaries</v>
      </c>
      <c r="D55" s="64">
        <f>IF('Expenses Summary'!$E8="","",IF('Cash Flow %s Yr2'!D55="","",'Cash Flow %s Yr2'!D55*'Expenses Summary'!$E8))</f>
        <v>19646.598000000002</v>
      </c>
      <c r="E55" s="64">
        <f>IF('Expenses Summary'!$E8="","",IF('Cash Flow %s Yr2'!E55="","",'Cash Flow %s Yr2'!E55*'Expenses Summary'!$E8))</f>
        <v>19646.598000000002</v>
      </c>
      <c r="F55" s="64">
        <f>IF('Expenses Summary'!$E8="","",IF('Cash Flow %s Yr2'!F55="","",'Cash Flow %s Yr2'!F55*'Expenses Summary'!$E8))</f>
        <v>19646.598000000002</v>
      </c>
      <c r="G55" s="64">
        <f>IF('Expenses Summary'!$E8="","",IF('Cash Flow %s Yr2'!G55="","",'Cash Flow %s Yr2'!G55*'Expenses Summary'!$E8))</f>
        <v>19646.598000000002</v>
      </c>
      <c r="H55" s="64">
        <f>IF('Expenses Summary'!$E8="","",IF('Cash Flow %s Yr2'!H55="","",'Cash Flow %s Yr2'!H55*'Expenses Summary'!$E8))</f>
        <v>19646.598000000002</v>
      </c>
      <c r="I55" s="64">
        <f>IF('Expenses Summary'!$E8="","",IF('Cash Flow %s Yr2'!I55="","",'Cash Flow %s Yr2'!I55*'Expenses Summary'!$E8))</f>
        <v>19646.598000000002</v>
      </c>
      <c r="J55" s="64">
        <f>IF('Expenses Summary'!$E8="","",IF('Cash Flow %s Yr2'!J55="","",'Cash Flow %s Yr2'!J55*'Expenses Summary'!$E8))</f>
        <v>19646.598000000002</v>
      </c>
      <c r="K55" s="64">
        <f>IF('Expenses Summary'!$E8="","",IF('Cash Flow %s Yr2'!K55="","",'Cash Flow %s Yr2'!K55*'Expenses Summary'!$E8))</f>
        <v>19646.598000000002</v>
      </c>
      <c r="L55" s="64">
        <f>IF('Expenses Summary'!$E8="","",IF('Cash Flow %s Yr2'!L55="","",'Cash Flow %s Yr2'!L55*'Expenses Summary'!$E8))</f>
        <v>19883.304</v>
      </c>
      <c r="M55" s="64">
        <f>IF('Expenses Summary'!$E8="","",IF('Cash Flow %s Yr2'!M55="","",'Cash Flow %s Yr2'!M55*'Expenses Summary'!$E8))</f>
        <v>19883.304</v>
      </c>
      <c r="N55" s="64">
        <f>IF('Expenses Summary'!$E8="","",IF('Cash Flow %s Yr2'!N55="","",'Cash Flow %s Yr2'!N55*'Expenses Summary'!$E8))</f>
        <v>19883.304</v>
      </c>
      <c r="O55" s="64">
        <f>IF('Expenses Summary'!$E8="","",IF('Cash Flow %s Yr2'!O55="","",'Cash Flow %s Yr2'!O55*'Expenses Summary'!$E8))</f>
        <v>19883.304</v>
      </c>
      <c r="P55" s="129"/>
      <c r="Q55" s="129"/>
      <c r="R55" s="129"/>
      <c r="S55" s="111">
        <f>IF(SUM(D55:R55)&gt;0,SUM(D55:R55)/'Expenses Summary'!$E8,"")</f>
        <v>1.0000000000000002</v>
      </c>
    </row>
    <row r="56" spans="1:19" x14ac:dyDescent="0.2">
      <c r="A56" s="36"/>
      <c r="B56" s="67" t="str">
        <f>'Expenses Summary'!B9</f>
        <v>1105</v>
      </c>
      <c r="C56" s="67" t="str">
        <f>'Expenses Summary'!C9</f>
        <v>Teachers'  Bonuses</v>
      </c>
      <c r="D56" s="64">
        <f>IF('Expenses Summary'!$E9="","",IF('Cash Flow %s Yr2'!D56="","",'Cash Flow %s Yr2'!D56*'Expenses Summary'!$E9))</f>
        <v>0</v>
      </c>
      <c r="E56" s="64">
        <f>IF('Expenses Summary'!$E9="","",IF('Cash Flow %s Yr2'!E56="","",'Cash Flow %s Yr2'!E56*'Expenses Summary'!$E9))</f>
        <v>0</v>
      </c>
      <c r="F56" s="64">
        <f>IF('Expenses Summary'!$E9="","",IF('Cash Flow %s Yr2'!F56="","",'Cash Flow %s Yr2'!F56*'Expenses Summary'!$E9))</f>
        <v>0</v>
      </c>
      <c r="G56" s="64">
        <f>IF('Expenses Summary'!$E9="","",IF('Cash Flow %s Yr2'!G56="","",'Cash Flow %s Yr2'!G56*'Expenses Summary'!$E9))</f>
        <v>0</v>
      </c>
      <c r="H56" s="64">
        <f>IF('Expenses Summary'!$E9="","",IF('Cash Flow %s Yr2'!H56="","",'Cash Flow %s Yr2'!H56*'Expenses Summary'!$E9))</f>
        <v>0</v>
      </c>
      <c r="I56" s="64">
        <f>IF('Expenses Summary'!$E9="","",IF('Cash Flow %s Yr2'!I56="","",'Cash Flow %s Yr2'!I56*'Expenses Summary'!$E9))</f>
        <v>1500</v>
      </c>
      <c r="J56" s="64">
        <f>IF('Expenses Summary'!$E9="","",IF('Cash Flow %s Yr2'!J56="","",'Cash Flow %s Yr2'!J56*'Expenses Summary'!$E9))</f>
        <v>0</v>
      </c>
      <c r="K56" s="64">
        <f>IF('Expenses Summary'!$E9="","",IF('Cash Flow %s Yr2'!K56="","",'Cash Flow %s Yr2'!K56*'Expenses Summary'!$E9))</f>
        <v>0</v>
      </c>
      <c r="L56" s="64">
        <f>IF('Expenses Summary'!$E9="","",IF('Cash Flow %s Yr2'!L56="","",'Cash Flow %s Yr2'!L56*'Expenses Summary'!$E9))</f>
        <v>0</v>
      </c>
      <c r="M56" s="64">
        <f>IF('Expenses Summary'!$E9="","",IF('Cash Flow %s Yr2'!M56="","",'Cash Flow %s Yr2'!M56*'Expenses Summary'!$E9))</f>
        <v>0</v>
      </c>
      <c r="N56" s="64">
        <f>IF('Expenses Summary'!$E9="","",IF('Cash Flow %s Yr2'!N56="","",'Cash Flow %s Yr2'!N56*'Expenses Summary'!$E9))</f>
        <v>0</v>
      </c>
      <c r="O56" s="64">
        <f>IF('Expenses Summary'!$E9="","",IF('Cash Flow %s Yr2'!O56="","",'Cash Flow %s Yr2'!O56*'Expenses Summary'!$E9))</f>
        <v>0</v>
      </c>
      <c r="P56" s="129"/>
      <c r="Q56" s="129"/>
      <c r="R56" s="129"/>
      <c r="S56" s="111">
        <f>IF(SUM(D56:R56)&gt;0,SUM(D56:R56)/'Expenses Summary'!$E9,"")</f>
        <v>1</v>
      </c>
    </row>
    <row r="57" spans="1:19" x14ac:dyDescent="0.2">
      <c r="A57" s="36"/>
      <c r="B57" s="67" t="str">
        <f>'Expenses Summary'!B10</f>
        <v>1120</v>
      </c>
      <c r="C57" s="67" t="str">
        <f>'Expenses Summary'!C10</f>
        <v>Substitute Expense</v>
      </c>
      <c r="D57" s="64">
        <f>IF('Expenses Summary'!$E10="","",IF('Cash Flow %s Yr2'!D57="","",'Cash Flow %s Yr2'!D57*'Expenses Summary'!$E10))</f>
        <v>0</v>
      </c>
      <c r="E57" s="64">
        <f>IF('Expenses Summary'!$E10="","",IF('Cash Flow %s Yr2'!E57="","",'Cash Flow %s Yr2'!E57*'Expenses Summary'!$E10))</f>
        <v>0</v>
      </c>
      <c r="F57" s="64">
        <f>IF('Expenses Summary'!$E10="","",IF('Cash Flow %s Yr2'!F57="","",'Cash Flow %s Yr2'!F57*'Expenses Summary'!$E10))</f>
        <v>160</v>
      </c>
      <c r="G57" s="64">
        <f>IF('Expenses Summary'!$E10="","",IF('Cash Flow %s Yr2'!G57="","",'Cash Flow %s Yr2'!G57*'Expenses Summary'!$E10))</f>
        <v>160</v>
      </c>
      <c r="H57" s="64">
        <f>IF('Expenses Summary'!$E10="","",IF('Cash Flow %s Yr2'!H57="","",'Cash Flow %s Yr2'!H57*'Expenses Summary'!$E10))</f>
        <v>160</v>
      </c>
      <c r="I57" s="64">
        <f>IF('Expenses Summary'!$E10="","",IF('Cash Flow %s Yr2'!I57="","",'Cash Flow %s Yr2'!I57*'Expenses Summary'!$E10))</f>
        <v>160</v>
      </c>
      <c r="J57" s="64">
        <f>IF('Expenses Summary'!$E10="","",IF('Cash Flow %s Yr2'!J57="","",'Cash Flow %s Yr2'!J57*'Expenses Summary'!$E10))</f>
        <v>160</v>
      </c>
      <c r="K57" s="64">
        <f>IF('Expenses Summary'!$E10="","",IF('Cash Flow %s Yr2'!K57="","",'Cash Flow %s Yr2'!K57*'Expenses Summary'!$E10))</f>
        <v>160</v>
      </c>
      <c r="L57" s="64">
        <f>IF('Expenses Summary'!$E10="","",IF('Cash Flow %s Yr2'!L57="","",'Cash Flow %s Yr2'!L57*'Expenses Summary'!$E10))</f>
        <v>160</v>
      </c>
      <c r="M57" s="64">
        <f>IF('Expenses Summary'!$E10="","",IF('Cash Flow %s Yr2'!M57="","",'Cash Flow %s Yr2'!M57*'Expenses Summary'!$E10))</f>
        <v>160</v>
      </c>
      <c r="N57" s="64">
        <f>IF('Expenses Summary'!$E10="","",IF('Cash Flow %s Yr2'!N57="","",'Cash Flow %s Yr2'!N57*'Expenses Summary'!$E10))</f>
        <v>160</v>
      </c>
      <c r="O57" s="64">
        <f>IF('Expenses Summary'!$E10="","",IF('Cash Flow %s Yr2'!O57="","",'Cash Flow %s Yr2'!O57*'Expenses Summary'!$E10))</f>
        <v>160</v>
      </c>
      <c r="P57" s="129"/>
      <c r="Q57" s="129"/>
      <c r="R57" s="129"/>
      <c r="S57" s="111">
        <f>IF(SUM(D57:R57)&gt;0,SUM(D57:R57)/'Expenses Summary'!$E10,"")</f>
        <v>1</v>
      </c>
    </row>
    <row r="58" spans="1:19" x14ac:dyDescent="0.2">
      <c r="A58" s="36"/>
      <c r="B58" s="67" t="str">
        <f>'Expenses Summary'!B11</f>
        <v>1200</v>
      </c>
      <c r="C58" s="67" t="str">
        <f>'Expenses Summary'!C11</f>
        <v>Certificated Pupil Support Salaries</v>
      </c>
      <c r="D58" s="64">
        <f>IF('Expenses Summary'!$E11="","",IF('Cash Flow %s Yr2'!D58="","",'Cash Flow %s Yr2'!D58*'Expenses Summary'!$E11))</f>
        <v>0</v>
      </c>
      <c r="E58" s="64">
        <f>IF('Expenses Summary'!$E11="","",IF('Cash Flow %s Yr2'!E58="","",'Cash Flow %s Yr2'!E58*'Expenses Summary'!$E11))</f>
        <v>0</v>
      </c>
      <c r="F58" s="64">
        <f>IF('Expenses Summary'!$E11="","",IF('Cash Flow %s Yr2'!F58="","",'Cash Flow %s Yr2'!F58*'Expenses Summary'!$E11))</f>
        <v>0</v>
      </c>
      <c r="G58" s="64">
        <f>IF('Expenses Summary'!$E11="","",IF('Cash Flow %s Yr2'!G58="","",'Cash Flow %s Yr2'!G58*'Expenses Summary'!$E11))</f>
        <v>0</v>
      </c>
      <c r="H58" s="64">
        <f>IF('Expenses Summary'!$E11="","",IF('Cash Flow %s Yr2'!H58="","",'Cash Flow %s Yr2'!H58*'Expenses Summary'!$E11))</f>
        <v>0</v>
      </c>
      <c r="I58" s="64">
        <f>IF('Expenses Summary'!$E11="","",IF('Cash Flow %s Yr2'!I58="","",'Cash Flow %s Yr2'!I58*'Expenses Summary'!$E11))</f>
        <v>0</v>
      </c>
      <c r="J58" s="64">
        <f>IF('Expenses Summary'!$E11="","",IF('Cash Flow %s Yr2'!J58="","",'Cash Flow %s Yr2'!J58*'Expenses Summary'!$E11))</f>
        <v>0</v>
      </c>
      <c r="K58" s="64">
        <f>IF('Expenses Summary'!$E11="","",IF('Cash Flow %s Yr2'!K58="","",'Cash Flow %s Yr2'!K58*'Expenses Summary'!$E11))</f>
        <v>0</v>
      </c>
      <c r="L58" s="64">
        <f>IF('Expenses Summary'!$E11="","",IF('Cash Flow %s Yr2'!L58="","",'Cash Flow %s Yr2'!L58*'Expenses Summary'!$E11))</f>
        <v>0</v>
      </c>
      <c r="M58" s="64">
        <f>IF('Expenses Summary'!$E11="","",IF('Cash Flow %s Yr2'!M58="","",'Cash Flow %s Yr2'!M58*'Expenses Summary'!$E11))</f>
        <v>0</v>
      </c>
      <c r="N58" s="64">
        <f>IF('Expenses Summary'!$E11="","",IF('Cash Flow %s Yr2'!N58="","",'Cash Flow %s Yr2'!N58*'Expenses Summary'!$E11))</f>
        <v>0</v>
      </c>
      <c r="O58" s="64">
        <f>IF('Expenses Summary'!$E11="","",IF('Cash Flow %s Yr2'!O58="","",'Cash Flow %s Yr2'!O58*'Expenses Summary'!$E11))</f>
        <v>0</v>
      </c>
      <c r="P58" s="129"/>
      <c r="Q58" s="129"/>
      <c r="R58" s="129"/>
      <c r="S58" s="111" t="str">
        <f>IF(SUM(D58:R58)&gt;0,SUM(D58:R58)/'Expenses Summary'!$E11,"")</f>
        <v/>
      </c>
    </row>
    <row r="59" spans="1:19" x14ac:dyDescent="0.2">
      <c r="A59" s="36"/>
      <c r="B59" s="67" t="str">
        <f>'Expenses Summary'!B13</f>
        <v>1300</v>
      </c>
      <c r="C59" s="67" t="str">
        <f>'Expenses Summary'!C13</f>
        <v>Certificated Supervisor and Administrator Salaries</v>
      </c>
      <c r="D59" s="64">
        <f>IF('Expenses Summary'!$E13="","",IF('Cash Flow %s Yr2'!D59="","",'Cash Flow %s Yr2'!D59*'Expenses Summary'!$E13))</f>
        <v>5395</v>
      </c>
      <c r="E59" s="64">
        <f>IF('Expenses Summary'!$E13="","",IF('Cash Flow %s Yr2'!E59="","",'Cash Flow %s Yr2'!E59*'Expenses Summary'!$E13))</f>
        <v>5395</v>
      </c>
      <c r="F59" s="64">
        <f>IF('Expenses Summary'!$E13="","",IF('Cash Flow %s Yr2'!F59="","",'Cash Flow %s Yr2'!F59*'Expenses Summary'!$E13))</f>
        <v>5395</v>
      </c>
      <c r="G59" s="64">
        <f>IF('Expenses Summary'!$E13="","",IF('Cash Flow %s Yr2'!G59="","",'Cash Flow %s Yr2'!G59*'Expenses Summary'!$E13))</f>
        <v>5395</v>
      </c>
      <c r="H59" s="64">
        <f>IF('Expenses Summary'!$E13="","",IF('Cash Flow %s Yr2'!H59="","",'Cash Flow %s Yr2'!H59*'Expenses Summary'!$E13))</f>
        <v>5395</v>
      </c>
      <c r="I59" s="64">
        <f>IF('Expenses Summary'!$E13="","",IF('Cash Flow %s Yr2'!I59="","",'Cash Flow %s Yr2'!I59*'Expenses Summary'!$E13))</f>
        <v>5395</v>
      </c>
      <c r="J59" s="64">
        <f>IF('Expenses Summary'!$E13="","",IF('Cash Flow %s Yr2'!J59="","",'Cash Flow %s Yr2'!J59*'Expenses Summary'!$E13))</f>
        <v>5395</v>
      </c>
      <c r="K59" s="64">
        <f>IF('Expenses Summary'!$E13="","",IF('Cash Flow %s Yr2'!K59="","",'Cash Flow %s Yr2'!K59*'Expenses Summary'!$E13))</f>
        <v>5395</v>
      </c>
      <c r="L59" s="64">
        <f>IF('Expenses Summary'!$E13="","",IF('Cash Flow %s Yr2'!L59="","",'Cash Flow %s Yr2'!L59*'Expenses Summary'!$E13))</f>
        <v>5460</v>
      </c>
      <c r="M59" s="64">
        <f>IF('Expenses Summary'!$E13="","",IF('Cash Flow %s Yr2'!M59="","",'Cash Flow %s Yr2'!M59*'Expenses Summary'!$E13))</f>
        <v>5460</v>
      </c>
      <c r="N59" s="64">
        <f>IF('Expenses Summary'!$E13="","",IF('Cash Flow %s Yr2'!N59="","",'Cash Flow %s Yr2'!N59*'Expenses Summary'!$E13))</f>
        <v>5460</v>
      </c>
      <c r="O59" s="64">
        <f>IF('Expenses Summary'!$E13="","",IF('Cash Flow %s Yr2'!O59="","",'Cash Flow %s Yr2'!O59*'Expenses Summary'!$E13))</f>
        <v>5460</v>
      </c>
      <c r="P59" s="129"/>
      <c r="Q59" s="129"/>
      <c r="R59" s="129"/>
      <c r="S59" s="111">
        <f>IF(SUM(D59:R59)&gt;0,SUM(D59:R59)/'Expenses Summary'!$E13,"")</f>
        <v>1</v>
      </c>
    </row>
    <row r="60" spans="1:19" x14ac:dyDescent="0.2">
      <c r="A60" s="36"/>
      <c r="B60" s="67" t="str">
        <f>'Expenses Summary'!B14</f>
        <v>1305</v>
      </c>
      <c r="C60" s="67" t="str">
        <f>'Expenses Summary'!C14</f>
        <v>Certificated Supervisor and Administrator Bonuses</v>
      </c>
      <c r="D60" s="64">
        <f>IF('Expenses Summary'!$E14="","",IF('Cash Flow %s Yr2'!D60="","",'Cash Flow %s Yr2'!D60*'Expenses Summary'!$E14))</f>
        <v>0</v>
      </c>
      <c r="E60" s="64">
        <f>IF('Expenses Summary'!$E14="","",IF('Cash Flow %s Yr2'!E60="","",'Cash Flow %s Yr2'!E60*'Expenses Summary'!$E14))</f>
        <v>0</v>
      </c>
      <c r="F60" s="64">
        <f>IF('Expenses Summary'!$E14="","",IF('Cash Flow %s Yr2'!F60="","",'Cash Flow %s Yr2'!F60*'Expenses Summary'!$E14))</f>
        <v>0</v>
      </c>
      <c r="G60" s="64">
        <f>IF('Expenses Summary'!$E14="","",IF('Cash Flow %s Yr2'!G60="","",'Cash Flow %s Yr2'!G60*'Expenses Summary'!$E14))</f>
        <v>0</v>
      </c>
      <c r="H60" s="64">
        <f>IF('Expenses Summary'!$E14="","",IF('Cash Flow %s Yr2'!H60="","",'Cash Flow %s Yr2'!H60*'Expenses Summary'!$E14))</f>
        <v>0</v>
      </c>
      <c r="I60" s="64">
        <f>IF('Expenses Summary'!$E14="","",IF('Cash Flow %s Yr2'!I60="","",'Cash Flow %s Yr2'!I60*'Expenses Summary'!$E14))</f>
        <v>1500</v>
      </c>
      <c r="J60" s="64">
        <f>IF('Expenses Summary'!$E14="","",IF('Cash Flow %s Yr2'!J60="","",'Cash Flow %s Yr2'!J60*'Expenses Summary'!$E14))</f>
        <v>0</v>
      </c>
      <c r="K60" s="64">
        <f>IF('Expenses Summary'!$E14="","",IF('Cash Flow %s Yr2'!K60="","",'Cash Flow %s Yr2'!K60*'Expenses Summary'!$E14))</f>
        <v>0</v>
      </c>
      <c r="L60" s="64">
        <f>IF('Expenses Summary'!$E14="","",IF('Cash Flow %s Yr2'!L60="","",'Cash Flow %s Yr2'!L60*'Expenses Summary'!$E14))</f>
        <v>0</v>
      </c>
      <c r="M60" s="64">
        <f>IF('Expenses Summary'!$E14="","",IF('Cash Flow %s Yr2'!M60="","",'Cash Flow %s Yr2'!M60*'Expenses Summary'!$E14))</f>
        <v>0</v>
      </c>
      <c r="N60" s="64">
        <f>IF('Expenses Summary'!$E14="","",IF('Cash Flow %s Yr2'!N60="","",'Cash Flow %s Yr2'!N60*'Expenses Summary'!$E14))</f>
        <v>0</v>
      </c>
      <c r="O60" s="64">
        <f>IF('Expenses Summary'!$E14="","",IF('Cash Flow %s Yr2'!O60="","",'Cash Flow %s Yr2'!O60*'Expenses Summary'!$E14))</f>
        <v>0</v>
      </c>
      <c r="P60" s="129"/>
      <c r="Q60" s="129"/>
      <c r="R60" s="129"/>
      <c r="S60" s="111">
        <f>IF(SUM(D60:R60)&gt;0,SUM(D60:R60)/'Expenses Summary'!$E14,"")</f>
        <v>1</v>
      </c>
    </row>
    <row r="61" spans="1:19" x14ac:dyDescent="0.2">
      <c r="A61" s="36"/>
      <c r="B61" s="67" t="str">
        <f>'Expenses Summary'!B15</f>
        <v>1900</v>
      </c>
      <c r="C61" s="67" t="str">
        <f>'Expenses Summary'!C15</f>
        <v>Other Certificated Salaries</v>
      </c>
      <c r="D61" s="64">
        <f>IF('Expenses Summary'!$E15="","",IF('Cash Flow %s Yr2'!D61="","",'Cash Flow %s Yr2'!D61*'Expenses Summary'!$E15))</f>
        <v>0</v>
      </c>
      <c r="E61" s="64">
        <f>IF('Expenses Summary'!$E15="","",IF('Cash Flow %s Yr2'!E61="","",'Cash Flow %s Yr2'!E61*'Expenses Summary'!$E15))</f>
        <v>0</v>
      </c>
      <c r="F61" s="64">
        <f>IF('Expenses Summary'!$E15="","",IF('Cash Flow %s Yr2'!F61="","",'Cash Flow %s Yr2'!F61*'Expenses Summary'!$E15))</f>
        <v>0</v>
      </c>
      <c r="G61" s="64">
        <f>IF('Expenses Summary'!$E15="","",IF('Cash Flow %s Yr2'!G61="","",'Cash Flow %s Yr2'!G61*'Expenses Summary'!$E15))</f>
        <v>0</v>
      </c>
      <c r="H61" s="64">
        <f>IF('Expenses Summary'!$E15="","",IF('Cash Flow %s Yr2'!H61="","",'Cash Flow %s Yr2'!H61*'Expenses Summary'!$E15))</f>
        <v>0</v>
      </c>
      <c r="I61" s="64">
        <f>IF('Expenses Summary'!$E15="","",IF('Cash Flow %s Yr2'!I61="","",'Cash Flow %s Yr2'!I61*'Expenses Summary'!$E15))</f>
        <v>0</v>
      </c>
      <c r="J61" s="64">
        <f>IF('Expenses Summary'!$E15="","",IF('Cash Flow %s Yr2'!J61="","",'Cash Flow %s Yr2'!J61*'Expenses Summary'!$E15))</f>
        <v>0</v>
      </c>
      <c r="K61" s="64">
        <f>IF('Expenses Summary'!$E15="","",IF('Cash Flow %s Yr2'!K61="","",'Cash Flow %s Yr2'!K61*'Expenses Summary'!$E15))</f>
        <v>0</v>
      </c>
      <c r="L61" s="64">
        <f>IF('Expenses Summary'!$E15="","",IF('Cash Flow %s Yr2'!L61="","",'Cash Flow %s Yr2'!L61*'Expenses Summary'!$E15))</f>
        <v>0</v>
      </c>
      <c r="M61" s="64">
        <f>IF('Expenses Summary'!$E15="","",IF('Cash Flow %s Yr2'!M61="","",'Cash Flow %s Yr2'!M61*'Expenses Summary'!$E15))</f>
        <v>0</v>
      </c>
      <c r="N61" s="64">
        <f>IF('Expenses Summary'!$E15="","",IF('Cash Flow %s Yr2'!N61="","",'Cash Flow %s Yr2'!N61*'Expenses Summary'!$E15))</f>
        <v>0</v>
      </c>
      <c r="O61" s="64">
        <f>IF('Expenses Summary'!$E15="","",IF('Cash Flow %s Yr2'!O61="","",'Cash Flow %s Yr2'!O61*'Expenses Summary'!$E15))</f>
        <v>0</v>
      </c>
      <c r="P61" s="129"/>
      <c r="Q61" s="129"/>
      <c r="R61" s="129"/>
      <c r="S61" s="111" t="str">
        <f>IF(SUM(D61:R61)&gt;0,SUM(D61:R61)/'Expenses Summary'!$E15,"")</f>
        <v/>
      </c>
    </row>
    <row r="62" spans="1:19" x14ac:dyDescent="0.2">
      <c r="A62" s="36"/>
      <c r="B62" s="67" t="str">
        <f>'Expenses Summary'!B16</f>
        <v>1910</v>
      </c>
      <c r="C62" s="67" t="str">
        <f>'Expenses Summary'!C16</f>
        <v>Other Certificated Overtime</v>
      </c>
      <c r="D62" s="64">
        <f>IF('Expenses Summary'!$E16="","",IF('Cash Flow %s Yr2'!D62="","",'Cash Flow %s Yr2'!D62*'Expenses Summary'!$E16))</f>
        <v>0</v>
      </c>
      <c r="E62" s="64">
        <f>IF('Expenses Summary'!$E16="","",IF('Cash Flow %s Yr2'!E62="","",'Cash Flow %s Yr2'!E62*'Expenses Summary'!$E16))</f>
        <v>0</v>
      </c>
      <c r="F62" s="64">
        <f>IF('Expenses Summary'!$E16="","",IF('Cash Flow %s Yr2'!F62="","",'Cash Flow %s Yr2'!F62*'Expenses Summary'!$E16))</f>
        <v>0</v>
      </c>
      <c r="G62" s="64">
        <f>IF('Expenses Summary'!$E16="","",IF('Cash Flow %s Yr2'!G62="","",'Cash Flow %s Yr2'!G62*'Expenses Summary'!$E16))</f>
        <v>0</v>
      </c>
      <c r="H62" s="64">
        <f>IF('Expenses Summary'!$E16="","",IF('Cash Flow %s Yr2'!H62="","",'Cash Flow %s Yr2'!H62*'Expenses Summary'!$E16))</f>
        <v>0</v>
      </c>
      <c r="I62" s="64">
        <f>IF('Expenses Summary'!$E16="","",IF('Cash Flow %s Yr2'!I62="","",'Cash Flow %s Yr2'!I62*'Expenses Summary'!$E16))</f>
        <v>0</v>
      </c>
      <c r="J62" s="64">
        <f>IF('Expenses Summary'!$E16="","",IF('Cash Flow %s Yr2'!J62="","",'Cash Flow %s Yr2'!J62*'Expenses Summary'!$E16))</f>
        <v>0</v>
      </c>
      <c r="K62" s="64">
        <f>IF('Expenses Summary'!$E16="","",IF('Cash Flow %s Yr2'!K62="","",'Cash Flow %s Yr2'!K62*'Expenses Summary'!$E16))</f>
        <v>0</v>
      </c>
      <c r="L62" s="64">
        <f>IF('Expenses Summary'!$E16="","",IF('Cash Flow %s Yr2'!L62="","",'Cash Flow %s Yr2'!L62*'Expenses Summary'!$E16))</f>
        <v>0</v>
      </c>
      <c r="M62" s="64">
        <f>IF('Expenses Summary'!$E16="","",IF('Cash Flow %s Yr2'!M62="","",'Cash Flow %s Yr2'!M62*'Expenses Summary'!$E16))</f>
        <v>0</v>
      </c>
      <c r="N62" s="64">
        <f>IF('Expenses Summary'!$E16="","",IF('Cash Flow %s Yr2'!N62="","",'Cash Flow %s Yr2'!N62*'Expenses Summary'!$E16))</f>
        <v>0</v>
      </c>
      <c r="O62" s="64">
        <f>IF('Expenses Summary'!$E16="","",IF('Cash Flow %s Yr2'!O62="","",'Cash Flow %s Yr2'!O62*'Expenses Summary'!$E16))</f>
        <v>0</v>
      </c>
      <c r="P62" s="129"/>
      <c r="Q62" s="129"/>
      <c r="R62" s="129"/>
      <c r="S62" s="111" t="str">
        <f>IF(SUM(D62:R62)&gt;0,SUM(D62:R62)/'Expenses Summary'!$E16,"")</f>
        <v/>
      </c>
    </row>
    <row r="63" spans="1:19" x14ac:dyDescent="0.2">
      <c r="A63" s="36"/>
      <c r="B63" s="36" t="s">
        <v>555</v>
      </c>
      <c r="C63" s="34" t="s">
        <v>721</v>
      </c>
      <c r="D63" s="172">
        <f t="shared" ref="D63:I63" si="4">IF(SUM(D54:D62)&gt;0,SUM(D54:D62),"")</f>
        <v>25041.598000000002</v>
      </c>
      <c r="E63" s="172">
        <f t="shared" si="4"/>
        <v>25041.598000000002</v>
      </c>
      <c r="F63" s="172">
        <f t="shared" si="4"/>
        <v>25201.598000000002</v>
      </c>
      <c r="G63" s="172">
        <f t="shared" si="4"/>
        <v>25201.598000000002</v>
      </c>
      <c r="H63" s="172">
        <f t="shared" si="4"/>
        <v>25201.598000000002</v>
      </c>
      <c r="I63" s="172">
        <f t="shared" si="4"/>
        <v>28201.598000000002</v>
      </c>
      <c r="J63" s="172">
        <f t="shared" ref="J63:O63" si="5">IF(SUM(J54:J62)&gt;0,SUM(J54:J62),"")</f>
        <v>25201.598000000002</v>
      </c>
      <c r="K63" s="172">
        <f t="shared" si="5"/>
        <v>25201.598000000002</v>
      </c>
      <c r="L63" s="172">
        <f t="shared" si="5"/>
        <v>25503.304</v>
      </c>
      <c r="M63" s="172">
        <f t="shared" si="5"/>
        <v>25503.304</v>
      </c>
      <c r="N63" s="172">
        <f t="shared" si="5"/>
        <v>25503.304</v>
      </c>
      <c r="O63" s="172">
        <f t="shared" si="5"/>
        <v>25503.304</v>
      </c>
      <c r="P63" s="127"/>
      <c r="Q63" s="127"/>
      <c r="R63" s="127"/>
      <c r="S63" s="107"/>
    </row>
    <row r="64" spans="1:19" s="31" customFormat="1" x14ac:dyDescent="0.2">
      <c r="A64" s="36"/>
      <c r="B64" s="40"/>
      <c r="C64" s="3"/>
      <c r="D64" s="130"/>
      <c r="E64" s="130"/>
      <c r="F64" s="130"/>
      <c r="G64" s="130"/>
      <c r="H64" s="130"/>
      <c r="I64" s="130"/>
      <c r="J64" s="130"/>
      <c r="K64" s="130"/>
      <c r="L64" s="130"/>
      <c r="M64" s="130"/>
      <c r="N64" s="130"/>
      <c r="O64" s="130"/>
      <c r="P64" s="130"/>
      <c r="Q64" s="130"/>
      <c r="R64" s="130"/>
    </row>
    <row r="65" spans="1:19" s="31" customFormat="1" x14ac:dyDescent="0.2">
      <c r="B65" s="5" t="s">
        <v>734</v>
      </c>
      <c r="C65" s="3"/>
      <c r="D65" s="130"/>
      <c r="E65" s="130"/>
      <c r="F65" s="130"/>
      <c r="G65" s="130"/>
      <c r="H65" s="130"/>
      <c r="I65" s="130"/>
      <c r="J65" s="130"/>
      <c r="K65" s="130"/>
      <c r="L65" s="130"/>
      <c r="M65" s="130"/>
      <c r="N65" s="130"/>
      <c r="O65" s="130"/>
      <c r="P65" s="130"/>
      <c r="Q65" s="130"/>
      <c r="R65" s="130"/>
    </row>
    <row r="66" spans="1:19" s="31" customFormat="1" x14ac:dyDescent="0.2">
      <c r="A66" s="36"/>
      <c r="B66" s="67" t="str">
        <f>'Expenses Summary'!B20</f>
        <v>2100</v>
      </c>
      <c r="C66" s="67" t="str">
        <f>'Expenses Summary'!C20</f>
        <v>Instructional Aide Salaries</v>
      </c>
      <c r="D66" s="64">
        <f>IF('Expenses Summary'!$E20="","",IF('Cash Flow %s Yr2'!D66="","",'Cash Flow %s Yr2'!D66*'Expenses Summary'!$E20))</f>
        <v>0</v>
      </c>
      <c r="E66" s="64">
        <f>IF('Expenses Summary'!$E20="","",IF('Cash Flow %s Yr2'!E66="","",'Cash Flow %s Yr2'!E66*'Expenses Summary'!$E20))</f>
        <v>0</v>
      </c>
      <c r="F66" s="64">
        <f>IF('Expenses Summary'!$E20="","",IF('Cash Flow %s Yr2'!F66="","",'Cash Flow %s Yr2'!F66*'Expenses Summary'!$E20))</f>
        <v>8972</v>
      </c>
      <c r="G66" s="64">
        <f>IF('Expenses Summary'!$E20="","",IF('Cash Flow %s Yr2'!G66="","",'Cash Flow %s Yr2'!G66*'Expenses Summary'!$E20))</f>
        <v>8972</v>
      </c>
      <c r="H66" s="64">
        <f>IF('Expenses Summary'!$E20="","",IF('Cash Flow %s Yr2'!H66="","",'Cash Flow %s Yr2'!H66*'Expenses Summary'!$E20))</f>
        <v>8972</v>
      </c>
      <c r="I66" s="64">
        <f>IF('Expenses Summary'!$E20="","",IF('Cash Flow %s Yr2'!I66="","",'Cash Flow %s Yr2'!I66*'Expenses Summary'!$E20))</f>
        <v>8972</v>
      </c>
      <c r="J66" s="64">
        <f>IF('Expenses Summary'!$E20="","",IF('Cash Flow %s Yr2'!J66="","",'Cash Flow %s Yr2'!J66*'Expenses Summary'!$E20))</f>
        <v>8972</v>
      </c>
      <c r="K66" s="64">
        <f>IF('Expenses Summary'!$E20="","",IF('Cash Flow %s Yr2'!K66="","",'Cash Flow %s Yr2'!K66*'Expenses Summary'!$E20))</f>
        <v>8972</v>
      </c>
      <c r="L66" s="64">
        <f>IF('Expenses Summary'!$E20="","",IF('Cash Flow %s Yr2'!L66="","",'Cash Flow %s Yr2'!L66*'Expenses Summary'!$E20))</f>
        <v>8972</v>
      </c>
      <c r="M66" s="64">
        <f>IF('Expenses Summary'!$E20="","",IF('Cash Flow %s Yr2'!M66="","",'Cash Flow %s Yr2'!M66*'Expenses Summary'!$E20))</f>
        <v>8972</v>
      </c>
      <c r="N66" s="64">
        <f>IF('Expenses Summary'!$E20="","",IF('Cash Flow %s Yr2'!N66="","",'Cash Flow %s Yr2'!N66*'Expenses Summary'!$E20))</f>
        <v>8972</v>
      </c>
      <c r="O66" s="64">
        <f>IF('Expenses Summary'!$E20="","",IF('Cash Flow %s Yr2'!O66="","",'Cash Flow %s Yr2'!O66*'Expenses Summary'!$E20))</f>
        <v>8972</v>
      </c>
      <c r="P66" s="129"/>
      <c r="Q66" s="129"/>
      <c r="R66" s="129"/>
      <c r="S66" s="111">
        <f>IF(SUM(D66:R66)&gt;0,SUM(D66:R66)/'Expenses Summary'!$E20,"")</f>
        <v>1</v>
      </c>
    </row>
    <row r="67" spans="1:19" s="31" customFormat="1" x14ac:dyDescent="0.2">
      <c r="A67" s="36"/>
      <c r="B67" s="67" t="str">
        <f>'Expenses Summary'!B21</f>
        <v>2110</v>
      </c>
      <c r="C67" s="67" t="str">
        <f>'Expenses Summary'!C21</f>
        <v>Instructional Aide Overtime</v>
      </c>
      <c r="D67" s="64">
        <f>IF('Expenses Summary'!$E21="","",IF('Cash Flow %s Yr2'!D67="","",'Cash Flow %s Yr2'!D67*'Expenses Summary'!$E21))</f>
        <v>0</v>
      </c>
      <c r="E67" s="64">
        <f>IF('Expenses Summary'!$E21="","",IF('Cash Flow %s Yr2'!E67="","",'Cash Flow %s Yr2'!E67*'Expenses Summary'!$E21))</f>
        <v>0</v>
      </c>
      <c r="F67" s="64">
        <f>IF('Expenses Summary'!$E21="","",IF('Cash Flow %s Yr2'!F67="","",'Cash Flow %s Yr2'!F67*'Expenses Summary'!$E21))</f>
        <v>0</v>
      </c>
      <c r="G67" s="64">
        <f>IF('Expenses Summary'!$E21="","",IF('Cash Flow %s Yr2'!G67="","",'Cash Flow %s Yr2'!G67*'Expenses Summary'!$E21))</f>
        <v>0</v>
      </c>
      <c r="H67" s="64">
        <f>IF('Expenses Summary'!$E21="","",IF('Cash Flow %s Yr2'!H67="","",'Cash Flow %s Yr2'!H67*'Expenses Summary'!$E21))</f>
        <v>0</v>
      </c>
      <c r="I67" s="64">
        <f>IF('Expenses Summary'!$E21="","",IF('Cash Flow %s Yr2'!I67="","",'Cash Flow %s Yr2'!I67*'Expenses Summary'!$E21))</f>
        <v>0</v>
      </c>
      <c r="J67" s="64">
        <f>IF('Expenses Summary'!$E21="","",IF('Cash Flow %s Yr2'!J67="","",'Cash Flow %s Yr2'!J67*'Expenses Summary'!$E21))</f>
        <v>0</v>
      </c>
      <c r="K67" s="64">
        <f>IF('Expenses Summary'!$E21="","",IF('Cash Flow %s Yr2'!K67="","",'Cash Flow %s Yr2'!K67*'Expenses Summary'!$E21))</f>
        <v>0</v>
      </c>
      <c r="L67" s="64">
        <f>IF('Expenses Summary'!$E21="","",IF('Cash Flow %s Yr2'!L67="","",'Cash Flow %s Yr2'!L67*'Expenses Summary'!$E21))</f>
        <v>0</v>
      </c>
      <c r="M67" s="64">
        <f>IF('Expenses Summary'!$E21="","",IF('Cash Flow %s Yr2'!M67="","",'Cash Flow %s Yr2'!M67*'Expenses Summary'!$E21))</f>
        <v>0</v>
      </c>
      <c r="N67" s="64">
        <f>IF('Expenses Summary'!$E21="","",IF('Cash Flow %s Yr2'!N67="","",'Cash Flow %s Yr2'!N67*'Expenses Summary'!$E21))</f>
        <v>0</v>
      </c>
      <c r="O67" s="64">
        <f>IF('Expenses Summary'!$E21="","",IF('Cash Flow %s Yr2'!O67="","",'Cash Flow %s Yr2'!O67*'Expenses Summary'!$E21))</f>
        <v>0</v>
      </c>
      <c r="P67" s="129"/>
      <c r="Q67" s="129"/>
      <c r="R67" s="129"/>
      <c r="S67" s="111" t="str">
        <f>IF(SUM(D67:R67)&gt;0,SUM(D67:R67)/'Expenses Summary'!$E21,"")</f>
        <v/>
      </c>
    </row>
    <row r="68" spans="1:19" s="31" customFormat="1" x14ac:dyDescent="0.2">
      <c r="A68" s="36"/>
      <c r="B68" s="67" t="str">
        <f>'Expenses Summary'!B22</f>
        <v>2200</v>
      </c>
      <c r="C68" s="67" t="str">
        <f>'Expenses Summary'!C22</f>
        <v>Classified Support Salaries</v>
      </c>
      <c r="D68" s="64">
        <f>IF('Expenses Summary'!$E22="","",IF('Cash Flow %s Yr2'!D68="","",'Cash Flow %s Yr2'!D68*'Expenses Summary'!$E22))</f>
        <v>0</v>
      </c>
      <c r="E68" s="64">
        <f>IF('Expenses Summary'!$E22="","",IF('Cash Flow %s Yr2'!E68="","",'Cash Flow %s Yr2'!E68*'Expenses Summary'!$E22))</f>
        <v>0</v>
      </c>
      <c r="F68" s="64">
        <f>IF('Expenses Summary'!$E22="","",IF('Cash Flow %s Yr2'!F68="","",'Cash Flow %s Yr2'!F68*'Expenses Summary'!$E22))</f>
        <v>0</v>
      </c>
      <c r="G68" s="64">
        <f>IF('Expenses Summary'!$E22="","",IF('Cash Flow %s Yr2'!G68="","",'Cash Flow %s Yr2'!G68*'Expenses Summary'!$E22))</f>
        <v>0</v>
      </c>
      <c r="H68" s="64">
        <f>IF('Expenses Summary'!$E22="","",IF('Cash Flow %s Yr2'!H68="","",'Cash Flow %s Yr2'!H68*'Expenses Summary'!$E22))</f>
        <v>0</v>
      </c>
      <c r="I68" s="64">
        <f>IF('Expenses Summary'!$E22="","",IF('Cash Flow %s Yr2'!I68="","",'Cash Flow %s Yr2'!I68*'Expenses Summary'!$E22))</f>
        <v>0</v>
      </c>
      <c r="J68" s="64">
        <f>IF('Expenses Summary'!$E22="","",IF('Cash Flow %s Yr2'!J68="","",'Cash Flow %s Yr2'!J68*'Expenses Summary'!$E22))</f>
        <v>0</v>
      </c>
      <c r="K68" s="64">
        <f>IF('Expenses Summary'!$E22="","",IF('Cash Flow %s Yr2'!K68="","",'Cash Flow %s Yr2'!K68*'Expenses Summary'!$E22))</f>
        <v>0</v>
      </c>
      <c r="L68" s="64">
        <f>IF('Expenses Summary'!$E22="","",IF('Cash Flow %s Yr2'!L68="","",'Cash Flow %s Yr2'!L68*'Expenses Summary'!$E22))</f>
        <v>0</v>
      </c>
      <c r="M68" s="64">
        <f>IF('Expenses Summary'!$E22="","",IF('Cash Flow %s Yr2'!M68="","",'Cash Flow %s Yr2'!M68*'Expenses Summary'!$E22))</f>
        <v>0</v>
      </c>
      <c r="N68" s="64">
        <f>IF('Expenses Summary'!$E22="","",IF('Cash Flow %s Yr2'!N68="","",'Cash Flow %s Yr2'!N68*'Expenses Summary'!$E22))</f>
        <v>0</v>
      </c>
      <c r="O68" s="64">
        <f>IF('Expenses Summary'!$E22="","",IF('Cash Flow %s Yr2'!O68="","",'Cash Flow %s Yr2'!O68*'Expenses Summary'!$E22))</f>
        <v>0</v>
      </c>
      <c r="P68" s="129"/>
      <c r="Q68" s="129"/>
      <c r="R68" s="129"/>
      <c r="S68" s="111" t="str">
        <f>IF(SUM(D68:R68)&gt;0,SUM(D68:R68)/'Expenses Summary'!$E22,"")</f>
        <v/>
      </c>
    </row>
    <row r="69" spans="1:19" s="31" customFormat="1" x14ac:dyDescent="0.2">
      <c r="A69" s="36"/>
      <c r="B69" s="67" t="str">
        <f>'Expenses Summary'!B23</f>
        <v>2210</v>
      </c>
      <c r="C69" s="67" t="str">
        <f>'Expenses Summary'!C23</f>
        <v>Classified Support Overtime</v>
      </c>
      <c r="D69" s="64">
        <f>IF('Expenses Summary'!$E23="","",IF('Cash Flow %s Yr2'!D69="","",'Cash Flow %s Yr2'!D69*'Expenses Summary'!$E23))</f>
        <v>0</v>
      </c>
      <c r="E69" s="64">
        <f>IF('Expenses Summary'!$E23="","",IF('Cash Flow %s Yr2'!E69="","",'Cash Flow %s Yr2'!E69*'Expenses Summary'!$E23))</f>
        <v>0</v>
      </c>
      <c r="F69" s="64">
        <f>IF('Expenses Summary'!$E23="","",IF('Cash Flow %s Yr2'!F69="","",'Cash Flow %s Yr2'!F69*'Expenses Summary'!$E23))</f>
        <v>0</v>
      </c>
      <c r="G69" s="64">
        <f>IF('Expenses Summary'!$E23="","",IF('Cash Flow %s Yr2'!G69="","",'Cash Flow %s Yr2'!G69*'Expenses Summary'!$E23))</f>
        <v>0</v>
      </c>
      <c r="H69" s="64">
        <f>IF('Expenses Summary'!$E23="","",IF('Cash Flow %s Yr2'!H69="","",'Cash Flow %s Yr2'!H69*'Expenses Summary'!$E23))</f>
        <v>0</v>
      </c>
      <c r="I69" s="64">
        <f>IF('Expenses Summary'!$E23="","",IF('Cash Flow %s Yr2'!I69="","",'Cash Flow %s Yr2'!I69*'Expenses Summary'!$E23))</f>
        <v>0</v>
      </c>
      <c r="J69" s="64">
        <f>IF('Expenses Summary'!$E23="","",IF('Cash Flow %s Yr2'!J69="","",'Cash Flow %s Yr2'!J69*'Expenses Summary'!$E23))</f>
        <v>0</v>
      </c>
      <c r="K69" s="64">
        <f>IF('Expenses Summary'!$E23="","",IF('Cash Flow %s Yr2'!K69="","",'Cash Flow %s Yr2'!K69*'Expenses Summary'!$E23))</f>
        <v>0</v>
      </c>
      <c r="L69" s="64">
        <f>IF('Expenses Summary'!$E23="","",IF('Cash Flow %s Yr2'!L69="","",'Cash Flow %s Yr2'!L69*'Expenses Summary'!$E23))</f>
        <v>0</v>
      </c>
      <c r="M69" s="64">
        <f>IF('Expenses Summary'!$E23="","",IF('Cash Flow %s Yr2'!M69="","",'Cash Flow %s Yr2'!M69*'Expenses Summary'!$E23))</f>
        <v>0</v>
      </c>
      <c r="N69" s="64">
        <f>IF('Expenses Summary'!$E23="","",IF('Cash Flow %s Yr2'!N69="","",'Cash Flow %s Yr2'!N69*'Expenses Summary'!$E23))</f>
        <v>0</v>
      </c>
      <c r="O69" s="64">
        <f>IF('Expenses Summary'!$E23="","",IF('Cash Flow %s Yr2'!O69="","",'Cash Flow %s Yr2'!O69*'Expenses Summary'!$E23))</f>
        <v>0</v>
      </c>
      <c r="P69" s="129"/>
      <c r="Q69" s="129"/>
      <c r="R69" s="129"/>
      <c r="S69" s="111" t="str">
        <f>IF(SUM(D69:R69)&gt;0,SUM(D69:R69)/'Expenses Summary'!$E23,"")</f>
        <v/>
      </c>
    </row>
    <row r="70" spans="1:19" s="31" customFormat="1" x14ac:dyDescent="0.2">
      <c r="A70" s="36"/>
      <c r="B70" s="67" t="str">
        <f>'Expenses Summary'!B24</f>
        <v>2300</v>
      </c>
      <c r="C70" s="67" t="str">
        <f>'Expenses Summary'!C24</f>
        <v>Classified Supervisor and Administrator Salaries</v>
      </c>
      <c r="D70" s="64">
        <f>IF('Expenses Summary'!$E24="","",IF('Cash Flow %s Yr2'!D70="","",'Cash Flow %s Yr2'!D70*'Expenses Summary'!$E24))</f>
        <v>0</v>
      </c>
      <c r="E70" s="64">
        <f>IF('Expenses Summary'!$E24="","",IF('Cash Flow %s Yr2'!E70="","",'Cash Flow %s Yr2'!E70*'Expenses Summary'!$E24))</f>
        <v>0</v>
      </c>
      <c r="F70" s="64">
        <f>IF('Expenses Summary'!$E24="","",IF('Cash Flow %s Yr2'!F70="","",'Cash Flow %s Yr2'!F70*'Expenses Summary'!$E24))</f>
        <v>0</v>
      </c>
      <c r="G70" s="64">
        <f>IF('Expenses Summary'!$E24="","",IF('Cash Flow %s Yr2'!G70="","",'Cash Flow %s Yr2'!G70*'Expenses Summary'!$E24))</f>
        <v>0</v>
      </c>
      <c r="H70" s="64">
        <f>IF('Expenses Summary'!$E24="","",IF('Cash Flow %s Yr2'!H70="","",'Cash Flow %s Yr2'!H70*'Expenses Summary'!$E24))</f>
        <v>0</v>
      </c>
      <c r="I70" s="64">
        <f>IF('Expenses Summary'!$E24="","",IF('Cash Flow %s Yr2'!I70="","",'Cash Flow %s Yr2'!I70*'Expenses Summary'!$E24))</f>
        <v>0</v>
      </c>
      <c r="J70" s="64">
        <f>IF('Expenses Summary'!$E24="","",IF('Cash Flow %s Yr2'!J70="","",'Cash Flow %s Yr2'!J70*'Expenses Summary'!$E24))</f>
        <v>0</v>
      </c>
      <c r="K70" s="64">
        <f>IF('Expenses Summary'!$E24="","",IF('Cash Flow %s Yr2'!K70="","",'Cash Flow %s Yr2'!K70*'Expenses Summary'!$E24))</f>
        <v>0</v>
      </c>
      <c r="L70" s="64">
        <f>IF('Expenses Summary'!$E24="","",IF('Cash Flow %s Yr2'!L70="","",'Cash Flow %s Yr2'!L70*'Expenses Summary'!$E24))</f>
        <v>0</v>
      </c>
      <c r="M70" s="64">
        <f>IF('Expenses Summary'!$E24="","",IF('Cash Flow %s Yr2'!M70="","",'Cash Flow %s Yr2'!M70*'Expenses Summary'!$E24))</f>
        <v>0</v>
      </c>
      <c r="N70" s="64">
        <f>IF('Expenses Summary'!$E24="","",IF('Cash Flow %s Yr2'!N70="","",'Cash Flow %s Yr2'!N70*'Expenses Summary'!$E24))</f>
        <v>0</v>
      </c>
      <c r="O70" s="64">
        <f>IF('Expenses Summary'!$E24="","",IF('Cash Flow %s Yr2'!O70="","",'Cash Flow %s Yr2'!O70*'Expenses Summary'!$E24))</f>
        <v>0</v>
      </c>
      <c r="P70" s="129"/>
      <c r="Q70" s="129"/>
      <c r="R70" s="129"/>
      <c r="S70" s="111" t="str">
        <f>IF(SUM(D70:R70)&gt;0,SUM(D70:R70)/'Expenses Summary'!$E24,"")</f>
        <v/>
      </c>
    </row>
    <row r="71" spans="1:19" s="31" customFormat="1" x14ac:dyDescent="0.2">
      <c r="A71" s="36"/>
      <c r="B71" s="67" t="str">
        <f>'Expenses Summary'!B25</f>
        <v>2400</v>
      </c>
      <c r="C71" s="67" t="str">
        <f>'Expenses Summary'!C25</f>
        <v>Clerical, Technical, and Office Staff Salaries</v>
      </c>
      <c r="D71" s="64">
        <f>IF('Expenses Summary'!$E25="","",IF('Cash Flow %s Yr2'!D71="","",'Cash Flow %s Yr2'!D71*'Expenses Summary'!$E25))</f>
        <v>0</v>
      </c>
      <c r="E71" s="64">
        <f>IF('Expenses Summary'!$E25="","",IF('Cash Flow %s Yr2'!E71="","",'Cash Flow %s Yr2'!E71*'Expenses Summary'!$E25))</f>
        <v>0</v>
      </c>
      <c r="F71" s="64">
        <f>IF('Expenses Summary'!$E25="","",IF('Cash Flow %s Yr2'!F71="","",'Cash Flow %s Yr2'!F71*'Expenses Summary'!$E25))</f>
        <v>1860</v>
      </c>
      <c r="G71" s="64">
        <f>IF('Expenses Summary'!$E25="","",IF('Cash Flow %s Yr2'!G71="","",'Cash Flow %s Yr2'!G71*'Expenses Summary'!$E25))</f>
        <v>1860</v>
      </c>
      <c r="H71" s="64">
        <f>IF('Expenses Summary'!$E25="","",IF('Cash Flow %s Yr2'!H71="","",'Cash Flow %s Yr2'!H71*'Expenses Summary'!$E25))</f>
        <v>1860</v>
      </c>
      <c r="I71" s="64">
        <f>IF('Expenses Summary'!$E25="","",IF('Cash Flow %s Yr2'!I71="","",'Cash Flow %s Yr2'!I71*'Expenses Summary'!$E25))</f>
        <v>1860</v>
      </c>
      <c r="J71" s="64">
        <f>IF('Expenses Summary'!$E25="","",IF('Cash Flow %s Yr2'!J71="","",'Cash Flow %s Yr2'!J71*'Expenses Summary'!$E25))</f>
        <v>1860</v>
      </c>
      <c r="K71" s="64">
        <f>IF('Expenses Summary'!$E25="","",IF('Cash Flow %s Yr2'!K71="","",'Cash Flow %s Yr2'!K71*'Expenses Summary'!$E25))</f>
        <v>1860</v>
      </c>
      <c r="L71" s="64">
        <f>IF('Expenses Summary'!$E25="","",IF('Cash Flow %s Yr2'!L71="","",'Cash Flow %s Yr2'!L71*'Expenses Summary'!$E25))</f>
        <v>1860</v>
      </c>
      <c r="M71" s="64">
        <f>IF('Expenses Summary'!$E25="","",IF('Cash Flow %s Yr2'!M71="","",'Cash Flow %s Yr2'!M71*'Expenses Summary'!$E25))</f>
        <v>1860</v>
      </c>
      <c r="N71" s="64">
        <f>IF('Expenses Summary'!$E25="","",IF('Cash Flow %s Yr2'!N71="","",'Cash Flow %s Yr2'!N71*'Expenses Summary'!$E25))</f>
        <v>1860</v>
      </c>
      <c r="O71" s="64">
        <f>IF('Expenses Summary'!$E25="","",IF('Cash Flow %s Yr2'!O71="","",'Cash Flow %s Yr2'!O71*'Expenses Summary'!$E25))</f>
        <v>1860</v>
      </c>
      <c r="P71" s="129"/>
      <c r="Q71" s="129"/>
      <c r="R71" s="129"/>
      <c r="S71" s="111">
        <f>IF(SUM(D71:R71)&gt;0,SUM(D71:R71)/'Expenses Summary'!$E25,"")</f>
        <v>1</v>
      </c>
    </row>
    <row r="72" spans="1:19" s="31" customFormat="1" x14ac:dyDescent="0.2">
      <c r="A72" s="36"/>
      <c r="B72" s="67" t="str">
        <f>'Expenses Summary'!B26</f>
        <v>2410</v>
      </c>
      <c r="C72" s="67" t="str">
        <f>'Expenses Summary'!C26</f>
        <v>Clerical, Technical, and Office Staff Overtime</v>
      </c>
      <c r="D72" s="64">
        <f>IF('Expenses Summary'!$E26="","",IF('Cash Flow %s Yr2'!D72="","",'Cash Flow %s Yr2'!D72*'Expenses Summary'!$E26))</f>
        <v>0</v>
      </c>
      <c r="E72" s="64">
        <f>IF('Expenses Summary'!$E26="","",IF('Cash Flow %s Yr2'!E72="","",'Cash Flow %s Yr2'!E72*'Expenses Summary'!$E26))</f>
        <v>0</v>
      </c>
      <c r="F72" s="64">
        <f>IF('Expenses Summary'!$E26="","",IF('Cash Flow %s Yr2'!F72="","",'Cash Flow %s Yr2'!F72*'Expenses Summary'!$E26))</f>
        <v>0</v>
      </c>
      <c r="G72" s="64">
        <f>IF('Expenses Summary'!$E26="","",IF('Cash Flow %s Yr2'!G72="","",'Cash Flow %s Yr2'!G72*'Expenses Summary'!$E26))</f>
        <v>0</v>
      </c>
      <c r="H72" s="64">
        <f>IF('Expenses Summary'!$E26="","",IF('Cash Flow %s Yr2'!H72="","",'Cash Flow %s Yr2'!H72*'Expenses Summary'!$E26))</f>
        <v>0</v>
      </c>
      <c r="I72" s="64">
        <f>IF('Expenses Summary'!$E26="","",IF('Cash Flow %s Yr2'!I72="","",'Cash Flow %s Yr2'!I72*'Expenses Summary'!$E26))</f>
        <v>0</v>
      </c>
      <c r="J72" s="64">
        <f>IF('Expenses Summary'!$E26="","",IF('Cash Flow %s Yr2'!J72="","",'Cash Flow %s Yr2'!J72*'Expenses Summary'!$E26))</f>
        <v>0</v>
      </c>
      <c r="K72" s="64">
        <f>IF('Expenses Summary'!$E26="","",IF('Cash Flow %s Yr2'!K72="","",'Cash Flow %s Yr2'!K72*'Expenses Summary'!$E26))</f>
        <v>0</v>
      </c>
      <c r="L72" s="64">
        <f>IF('Expenses Summary'!$E26="","",IF('Cash Flow %s Yr2'!L72="","",'Cash Flow %s Yr2'!L72*'Expenses Summary'!$E26))</f>
        <v>0</v>
      </c>
      <c r="M72" s="64">
        <f>IF('Expenses Summary'!$E26="","",IF('Cash Flow %s Yr2'!M72="","",'Cash Flow %s Yr2'!M72*'Expenses Summary'!$E26))</f>
        <v>0</v>
      </c>
      <c r="N72" s="64">
        <f>IF('Expenses Summary'!$E26="","",IF('Cash Flow %s Yr2'!N72="","",'Cash Flow %s Yr2'!N72*'Expenses Summary'!$E26))</f>
        <v>0</v>
      </c>
      <c r="O72" s="64">
        <f>IF('Expenses Summary'!$E26="","",IF('Cash Flow %s Yr2'!O72="","",'Cash Flow %s Yr2'!O72*'Expenses Summary'!$E26))</f>
        <v>0</v>
      </c>
      <c r="P72" s="129"/>
      <c r="Q72" s="129"/>
      <c r="R72" s="129"/>
      <c r="S72" s="111" t="str">
        <f>IF(SUM(D72:R72)&gt;0,SUM(D72:R72)/'Expenses Summary'!$E26,"")</f>
        <v/>
      </c>
    </row>
    <row r="73" spans="1:19" s="31" customFormat="1" x14ac:dyDescent="0.2">
      <c r="A73" s="36"/>
      <c r="B73" s="67" t="str">
        <f>'Expenses Summary'!B27</f>
        <v>2900</v>
      </c>
      <c r="C73" s="67" t="str">
        <f>'Expenses Summary'!C27</f>
        <v>Other Classified Salaries</v>
      </c>
      <c r="D73" s="64">
        <f>IF('Expenses Summary'!$E27="","",IF('Cash Flow %s Yr2'!D73="","",'Cash Flow %s Yr2'!D73*'Expenses Summary'!$E27))</f>
        <v>0</v>
      </c>
      <c r="E73" s="64">
        <f>IF('Expenses Summary'!$E27="","",IF('Cash Flow %s Yr2'!E73="","",'Cash Flow %s Yr2'!E73*'Expenses Summary'!$E27))</f>
        <v>0</v>
      </c>
      <c r="F73" s="64">
        <f>IF('Expenses Summary'!$E27="","",IF('Cash Flow %s Yr2'!F73="","",'Cash Flow %s Yr2'!F73*'Expenses Summary'!$E27))</f>
        <v>0</v>
      </c>
      <c r="G73" s="64">
        <f>IF('Expenses Summary'!$E27="","",IF('Cash Flow %s Yr2'!G73="","",'Cash Flow %s Yr2'!G73*'Expenses Summary'!$E27))</f>
        <v>0</v>
      </c>
      <c r="H73" s="64">
        <f>IF('Expenses Summary'!$E27="","",IF('Cash Flow %s Yr2'!H73="","",'Cash Flow %s Yr2'!H73*'Expenses Summary'!$E27))</f>
        <v>0</v>
      </c>
      <c r="I73" s="64">
        <f>IF('Expenses Summary'!$E27="","",IF('Cash Flow %s Yr2'!I73="","",'Cash Flow %s Yr2'!I73*'Expenses Summary'!$E27))</f>
        <v>0</v>
      </c>
      <c r="J73" s="64">
        <f>IF('Expenses Summary'!$E27="","",IF('Cash Flow %s Yr2'!J73="","",'Cash Flow %s Yr2'!J73*'Expenses Summary'!$E27))</f>
        <v>0</v>
      </c>
      <c r="K73" s="64">
        <f>IF('Expenses Summary'!$E27="","",IF('Cash Flow %s Yr2'!K73="","",'Cash Flow %s Yr2'!K73*'Expenses Summary'!$E27))</f>
        <v>0</v>
      </c>
      <c r="L73" s="64">
        <f>IF('Expenses Summary'!$E27="","",IF('Cash Flow %s Yr2'!L73="","",'Cash Flow %s Yr2'!L73*'Expenses Summary'!$E27))</f>
        <v>0</v>
      </c>
      <c r="M73" s="64">
        <f>IF('Expenses Summary'!$E27="","",IF('Cash Flow %s Yr2'!M73="","",'Cash Flow %s Yr2'!M73*'Expenses Summary'!$E27))</f>
        <v>0</v>
      </c>
      <c r="N73" s="64">
        <f>IF('Expenses Summary'!$E27="","",IF('Cash Flow %s Yr2'!N73="","",'Cash Flow %s Yr2'!N73*'Expenses Summary'!$E27))</f>
        <v>0</v>
      </c>
      <c r="O73" s="64">
        <f>IF('Expenses Summary'!$E27="","",IF('Cash Flow %s Yr2'!O73="","",'Cash Flow %s Yr2'!O73*'Expenses Summary'!$E27))</f>
        <v>0</v>
      </c>
      <c r="P73" s="129"/>
      <c r="Q73" s="129"/>
      <c r="R73" s="129"/>
      <c r="S73" s="111" t="str">
        <f>IF(SUM(D73:R73)&gt;0,SUM(D73:R73)/'Expenses Summary'!$E27,"")</f>
        <v/>
      </c>
    </row>
    <row r="74" spans="1:19" s="31" customFormat="1" x14ac:dyDescent="0.2">
      <c r="A74" s="36"/>
      <c r="B74" s="67" t="str">
        <f>'Expenses Summary'!B28</f>
        <v>2905</v>
      </c>
      <c r="C74" s="67" t="str">
        <f>'Expenses Summary'!C28</f>
        <v>Other Stipends</v>
      </c>
      <c r="D74" s="64">
        <f>IF('Expenses Summary'!$E28="","",IF('Cash Flow %s Yr2'!D74="","",'Cash Flow %s Yr2'!D74*'Expenses Summary'!$E28))</f>
        <v>0</v>
      </c>
      <c r="E74" s="64">
        <f>IF('Expenses Summary'!$E28="","",IF('Cash Flow %s Yr2'!E74="","",'Cash Flow %s Yr2'!E74*'Expenses Summary'!$E28))</f>
        <v>0</v>
      </c>
      <c r="F74" s="64">
        <f>IF('Expenses Summary'!$E28="","",IF('Cash Flow %s Yr2'!F74="","",'Cash Flow %s Yr2'!F74*'Expenses Summary'!$E28))</f>
        <v>0</v>
      </c>
      <c r="G74" s="64">
        <f>IF('Expenses Summary'!$E28="","",IF('Cash Flow %s Yr2'!G74="","",'Cash Flow %s Yr2'!G74*'Expenses Summary'!$E28))</f>
        <v>0</v>
      </c>
      <c r="H74" s="64">
        <f>IF('Expenses Summary'!$E28="","",IF('Cash Flow %s Yr2'!H74="","",'Cash Flow %s Yr2'!H74*'Expenses Summary'!$E28))</f>
        <v>0</v>
      </c>
      <c r="I74" s="64">
        <f>IF('Expenses Summary'!$E28="","",IF('Cash Flow %s Yr2'!I74="","",'Cash Flow %s Yr2'!I74*'Expenses Summary'!$E28))</f>
        <v>0</v>
      </c>
      <c r="J74" s="64">
        <f>IF('Expenses Summary'!$E28="","",IF('Cash Flow %s Yr2'!J74="","",'Cash Flow %s Yr2'!J74*'Expenses Summary'!$E28))</f>
        <v>0</v>
      </c>
      <c r="K74" s="64">
        <f>IF('Expenses Summary'!$E28="","",IF('Cash Flow %s Yr2'!K74="","",'Cash Flow %s Yr2'!K74*'Expenses Summary'!$E28))</f>
        <v>0</v>
      </c>
      <c r="L74" s="64">
        <f>IF('Expenses Summary'!$E28="","",IF('Cash Flow %s Yr2'!L74="","",'Cash Flow %s Yr2'!L74*'Expenses Summary'!$E28))</f>
        <v>0</v>
      </c>
      <c r="M74" s="64">
        <f>IF('Expenses Summary'!$E28="","",IF('Cash Flow %s Yr2'!M74="","",'Cash Flow %s Yr2'!M74*'Expenses Summary'!$E28))</f>
        <v>0</v>
      </c>
      <c r="N74" s="64">
        <f>IF('Expenses Summary'!$E28="","",IF('Cash Flow %s Yr2'!N74="","",'Cash Flow %s Yr2'!N74*'Expenses Summary'!$E28))</f>
        <v>0</v>
      </c>
      <c r="O74" s="64">
        <f>IF('Expenses Summary'!$E28="","",IF('Cash Flow %s Yr2'!O74="","",'Cash Flow %s Yr2'!O74*'Expenses Summary'!$E28))</f>
        <v>0</v>
      </c>
      <c r="P74" s="129"/>
      <c r="Q74" s="129"/>
      <c r="R74" s="129"/>
      <c r="S74" s="111" t="str">
        <f>IF(SUM(D74:R74)&gt;0,SUM(D74:R74)/'Expenses Summary'!$E28,"")</f>
        <v/>
      </c>
    </row>
    <row r="75" spans="1:19" s="31" customFormat="1" x14ac:dyDescent="0.2">
      <c r="A75" s="36"/>
      <c r="B75" s="67" t="str">
        <f>'Expenses Summary'!B29</f>
        <v>2910</v>
      </c>
      <c r="C75" s="67" t="str">
        <f>'Expenses Summary'!C29</f>
        <v>Other Classified Overtime</v>
      </c>
      <c r="D75" s="64">
        <f>IF('Expenses Summary'!$E29="","",IF('Cash Flow %s Yr2'!D75="","",'Cash Flow %s Yr2'!D75*'Expenses Summary'!$E29))</f>
        <v>0</v>
      </c>
      <c r="E75" s="64">
        <f>IF('Expenses Summary'!$E29="","",IF('Cash Flow %s Yr2'!E75="","",'Cash Flow %s Yr2'!E75*'Expenses Summary'!$E29))</f>
        <v>0</v>
      </c>
      <c r="F75" s="64">
        <f>IF('Expenses Summary'!$E29="","",IF('Cash Flow %s Yr2'!F75="","",'Cash Flow %s Yr2'!F75*'Expenses Summary'!$E29))</f>
        <v>0</v>
      </c>
      <c r="G75" s="64">
        <f>IF('Expenses Summary'!$E29="","",IF('Cash Flow %s Yr2'!G75="","",'Cash Flow %s Yr2'!G75*'Expenses Summary'!$E29))</f>
        <v>0</v>
      </c>
      <c r="H75" s="64">
        <f>IF('Expenses Summary'!$E29="","",IF('Cash Flow %s Yr2'!H75="","",'Cash Flow %s Yr2'!H75*'Expenses Summary'!$E29))</f>
        <v>0</v>
      </c>
      <c r="I75" s="64">
        <f>IF('Expenses Summary'!$E29="","",IF('Cash Flow %s Yr2'!I75="","",'Cash Flow %s Yr2'!I75*'Expenses Summary'!$E29))</f>
        <v>0</v>
      </c>
      <c r="J75" s="64">
        <f>IF('Expenses Summary'!$E29="","",IF('Cash Flow %s Yr2'!J75="","",'Cash Flow %s Yr2'!J75*'Expenses Summary'!$E29))</f>
        <v>0</v>
      </c>
      <c r="K75" s="64">
        <f>IF('Expenses Summary'!$E29="","",IF('Cash Flow %s Yr2'!K75="","",'Cash Flow %s Yr2'!K75*'Expenses Summary'!$E29))</f>
        <v>0</v>
      </c>
      <c r="L75" s="64">
        <f>IF('Expenses Summary'!$E29="","",IF('Cash Flow %s Yr2'!L75="","",'Cash Flow %s Yr2'!L75*'Expenses Summary'!$E29))</f>
        <v>0</v>
      </c>
      <c r="M75" s="64">
        <f>IF('Expenses Summary'!$E29="","",IF('Cash Flow %s Yr2'!M75="","",'Cash Flow %s Yr2'!M75*'Expenses Summary'!$E29))</f>
        <v>0</v>
      </c>
      <c r="N75" s="64">
        <f>IF('Expenses Summary'!$E29="","",IF('Cash Flow %s Yr2'!N75="","",'Cash Flow %s Yr2'!N75*'Expenses Summary'!$E29))</f>
        <v>0</v>
      </c>
      <c r="O75" s="64">
        <f>IF('Expenses Summary'!$E29="","",IF('Cash Flow %s Yr2'!O75="","",'Cash Flow %s Yr2'!O75*'Expenses Summary'!$E29))</f>
        <v>0</v>
      </c>
      <c r="P75" s="129"/>
      <c r="Q75" s="129"/>
      <c r="R75" s="129"/>
      <c r="S75" s="111" t="str">
        <f>IF(SUM(D75:R75)&gt;0,SUM(D75:R75)/'Expenses Summary'!$E29,"")</f>
        <v/>
      </c>
    </row>
    <row r="76" spans="1:19" s="31" customFormat="1" x14ac:dyDescent="0.2">
      <c r="A76" s="36"/>
      <c r="B76" s="43" t="s">
        <v>738</v>
      </c>
      <c r="C76" s="34" t="s">
        <v>721</v>
      </c>
      <c r="D76" s="172" t="str">
        <f t="shared" ref="D76:I76" si="6">IF(SUM(D65:D75)&gt;0,SUM(D65:D75),"")</f>
        <v/>
      </c>
      <c r="E76" s="172" t="str">
        <f t="shared" si="6"/>
        <v/>
      </c>
      <c r="F76" s="172">
        <f t="shared" si="6"/>
        <v>10832</v>
      </c>
      <c r="G76" s="172">
        <f t="shared" si="6"/>
        <v>10832</v>
      </c>
      <c r="H76" s="172">
        <f t="shared" si="6"/>
        <v>10832</v>
      </c>
      <c r="I76" s="172">
        <f t="shared" si="6"/>
        <v>10832</v>
      </c>
      <c r="J76" s="172">
        <f t="shared" ref="J76:O76" si="7">IF(SUM(J65:J75)&gt;0,SUM(J65:J75),"")</f>
        <v>10832</v>
      </c>
      <c r="K76" s="172">
        <f t="shared" si="7"/>
        <v>10832</v>
      </c>
      <c r="L76" s="172">
        <f t="shared" si="7"/>
        <v>10832</v>
      </c>
      <c r="M76" s="172">
        <f t="shared" si="7"/>
        <v>10832</v>
      </c>
      <c r="N76" s="172">
        <f t="shared" si="7"/>
        <v>10832</v>
      </c>
      <c r="O76" s="172">
        <f t="shared" si="7"/>
        <v>10832</v>
      </c>
      <c r="P76" s="100"/>
      <c r="Q76" s="100"/>
      <c r="R76" s="100"/>
      <c r="S76" s="107"/>
    </row>
    <row r="77" spans="1:19" s="31" customFormat="1" x14ac:dyDescent="0.2">
      <c r="A77" s="36"/>
      <c r="B77" s="40"/>
      <c r="C77" s="3"/>
      <c r="D77" s="102"/>
      <c r="E77" s="102"/>
      <c r="F77" s="102"/>
      <c r="G77" s="102"/>
      <c r="H77" s="102"/>
      <c r="I77" s="102"/>
      <c r="J77" s="102"/>
      <c r="K77" s="102"/>
      <c r="L77" s="102"/>
      <c r="M77" s="102"/>
      <c r="N77" s="102"/>
      <c r="O77" s="102"/>
      <c r="P77" s="102"/>
      <c r="Q77" s="102"/>
      <c r="R77" s="102"/>
    </row>
    <row r="78" spans="1:19" s="31" customFormat="1" x14ac:dyDescent="0.2">
      <c r="B78" s="34" t="s">
        <v>735</v>
      </c>
      <c r="C78" s="3"/>
      <c r="D78" s="102"/>
      <c r="E78" s="102"/>
      <c r="F78" s="102"/>
      <c r="G78" s="102"/>
      <c r="H78" s="102"/>
      <c r="I78" s="102"/>
      <c r="J78" s="102"/>
      <c r="K78" s="102"/>
      <c r="L78" s="102"/>
      <c r="M78" s="102"/>
      <c r="N78" s="102"/>
      <c r="O78" s="102"/>
      <c r="P78" s="102"/>
      <c r="Q78" s="102"/>
      <c r="R78" s="102"/>
    </row>
    <row r="79" spans="1:19" s="31" customFormat="1" x14ac:dyDescent="0.2">
      <c r="A79" s="36"/>
      <c r="B79" s="67" t="str">
        <f>'Expenses Summary'!B33</f>
        <v>3101</v>
      </c>
      <c r="C79" s="67" t="str">
        <f>'Expenses Summary'!C33</f>
        <v>State Teachers' Retirement System, certificated positions</v>
      </c>
      <c r="D79" s="64">
        <f>IF('Expenses Summary'!$E33="","",IF('Cash Flow %s Yr2'!D79="","",'Cash Flow %s Yr2'!D79*'Expenses Summary'!$E33))</f>
        <v>3198.2634684</v>
      </c>
      <c r="E79" s="64">
        <f>IF('Expenses Summary'!$E33="","",IF('Cash Flow %s Yr2'!E79="","",'Cash Flow %s Yr2'!E79*'Expenses Summary'!$E33))</f>
        <v>3198.2634684</v>
      </c>
      <c r="F79" s="64">
        <f>IF('Expenses Summary'!$E33="","",IF('Cash Flow %s Yr2'!F79="","",'Cash Flow %s Yr2'!F79*'Expenses Summary'!$E33))</f>
        <v>3198.2634684</v>
      </c>
      <c r="G79" s="64">
        <f>IF('Expenses Summary'!$E33="","",IF('Cash Flow %s Yr2'!G79="","",'Cash Flow %s Yr2'!G79*'Expenses Summary'!$E33))</f>
        <v>3198.2634684</v>
      </c>
      <c r="H79" s="64">
        <f>IF('Expenses Summary'!$E33="","",IF('Cash Flow %s Yr2'!H79="","",'Cash Flow %s Yr2'!H79*'Expenses Summary'!$E33))</f>
        <v>3198.2634684</v>
      </c>
      <c r="I79" s="64">
        <f>IF('Expenses Summary'!$E33="","",IF('Cash Flow %s Yr2'!I79="","",'Cash Flow %s Yr2'!I79*'Expenses Summary'!$E33))</f>
        <v>3198.2634684</v>
      </c>
      <c r="J79" s="64">
        <f>IF('Expenses Summary'!$E33="","",IF('Cash Flow %s Yr2'!J79="","",'Cash Flow %s Yr2'!J79*'Expenses Summary'!$E33))</f>
        <v>3198.2634684</v>
      </c>
      <c r="K79" s="64">
        <f>IF('Expenses Summary'!$E33="","",IF('Cash Flow %s Yr2'!K79="","",'Cash Flow %s Yr2'!K79*'Expenses Summary'!$E33))</f>
        <v>3198.2634684</v>
      </c>
      <c r="L79" s="64">
        <f>IF('Expenses Summary'!$E33="","",IF('Cash Flow %s Yr2'!L79="","",'Cash Flow %s Yr2'!L79*'Expenses Summary'!$E33))</f>
        <v>3236.7967632</v>
      </c>
      <c r="M79" s="64">
        <f>IF('Expenses Summary'!$E33="","",IF('Cash Flow %s Yr2'!M79="","",'Cash Flow %s Yr2'!M79*'Expenses Summary'!$E33))</f>
        <v>3236.7967632</v>
      </c>
      <c r="N79" s="64">
        <f>IF('Expenses Summary'!$E33="","",IF('Cash Flow %s Yr2'!N79="","",'Cash Flow %s Yr2'!N79*'Expenses Summary'!$E33))</f>
        <v>3236.7967632</v>
      </c>
      <c r="O79" s="64">
        <f>IF('Expenses Summary'!$E33="","",IF('Cash Flow %s Yr2'!O79="","",'Cash Flow %s Yr2'!O79*'Expenses Summary'!$E33))</f>
        <v>3236.7967632</v>
      </c>
      <c r="P79" s="129"/>
      <c r="Q79" s="129"/>
      <c r="R79" s="129"/>
      <c r="S79" s="111">
        <f>IF(SUM(D79:R79)&gt;0,SUM(D79:R79)/'Expenses Summary'!$E33,"")</f>
        <v>1</v>
      </c>
    </row>
    <row r="80" spans="1:19" s="31" customFormat="1" x14ac:dyDescent="0.2">
      <c r="A80" s="36"/>
      <c r="B80" s="67" t="str">
        <f>'Expenses Summary'!B34</f>
        <v>3202</v>
      </c>
      <c r="C80" s="67" t="str">
        <f>'Expenses Summary'!C34</f>
        <v>Public Employees' Retirement System, classified positions</v>
      </c>
      <c r="D80" s="64">
        <f>IF('Expenses Summary'!$E34="","",IF('Cash Flow %s Yr2'!D80="","",'Cash Flow %s Yr2'!D80*'Expenses Summary'!$E34))</f>
        <v>0</v>
      </c>
      <c r="E80" s="64">
        <f>IF('Expenses Summary'!$E34="","",IF('Cash Flow %s Yr2'!E80="","",'Cash Flow %s Yr2'!E80*'Expenses Summary'!$E34))</f>
        <v>0</v>
      </c>
      <c r="F80" s="64">
        <f>IF('Expenses Summary'!$E34="","",IF('Cash Flow %s Yr2'!F80="","",'Cash Flow %s Yr2'!F80*'Expenses Summary'!$E34))</f>
        <v>0</v>
      </c>
      <c r="G80" s="64">
        <f>IF('Expenses Summary'!$E34="","",IF('Cash Flow %s Yr2'!G80="","",'Cash Flow %s Yr2'!G80*'Expenses Summary'!$E34))</f>
        <v>0</v>
      </c>
      <c r="H80" s="64">
        <f>IF('Expenses Summary'!$E34="","",IF('Cash Flow %s Yr2'!H80="","",'Cash Flow %s Yr2'!H80*'Expenses Summary'!$E34))</f>
        <v>0</v>
      </c>
      <c r="I80" s="64">
        <f>IF('Expenses Summary'!$E34="","",IF('Cash Flow %s Yr2'!I80="","",'Cash Flow %s Yr2'!I80*'Expenses Summary'!$E34))</f>
        <v>0</v>
      </c>
      <c r="J80" s="64">
        <f>IF('Expenses Summary'!$E34="","",IF('Cash Flow %s Yr2'!J80="","",'Cash Flow %s Yr2'!J80*'Expenses Summary'!$E34))</f>
        <v>0</v>
      </c>
      <c r="K80" s="64">
        <f>IF('Expenses Summary'!$E34="","",IF('Cash Flow %s Yr2'!K80="","",'Cash Flow %s Yr2'!K80*'Expenses Summary'!$E34))</f>
        <v>0</v>
      </c>
      <c r="L80" s="64">
        <f>IF('Expenses Summary'!$E34="","",IF('Cash Flow %s Yr2'!L80="","",'Cash Flow %s Yr2'!L80*'Expenses Summary'!$E34))</f>
        <v>0</v>
      </c>
      <c r="M80" s="64">
        <f>IF('Expenses Summary'!$E34="","",IF('Cash Flow %s Yr2'!M80="","",'Cash Flow %s Yr2'!M80*'Expenses Summary'!$E34))</f>
        <v>0</v>
      </c>
      <c r="N80" s="64">
        <f>IF('Expenses Summary'!$E34="","",IF('Cash Flow %s Yr2'!N80="","",'Cash Flow %s Yr2'!N80*'Expenses Summary'!$E34))</f>
        <v>0</v>
      </c>
      <c r="O80" s="64">
        <f>IF('Expenses Summary'!$E34="","",IF('Cash Flow %s Yr2'!O80="","",'Cash Flow %s Yr2'!O80*'Expenses Summary'!$E34))</f>
        <v>0</v>
      </c>
      <c r="P80" s="129"/>
      <c r="Q80" s="129"/>
      <c r="R80" s="129"/>
      <c r="S80" s="111" t="str">
        <f>IF(SUM(D80:R80)&gt;0,SUM(D80:R80)/'Expenses Summary'!$E34,"")</f>
        <v/>
      </c>
    </row>
    <row r="81" spans="1:19" s="31" customFormat="1" x14ac:dyDescent="0.2">
      <c r="A81" s="36"/>
      <c r="B81" s="67" t="str">
        <f>'Expenses Summary'!B35</f>
        <v>3313</v>
      </c>
      <c r="C81" s="67" t="str">
        <f>'Expenses Summary'!C35</f>
        <v>OASDI</v>
      </c>
      <c r="D81" s="64">
        <f>IF('Expenses Summary'!$E35="","",IF('Cash Flow %s Yr2'!D81="","",'Cash Flow %s Yr2'!D81*'Expenses Summary'!$E35))</f>
        <v>561.91000000000008</v>
      </c>
      <c r="E81" s="64">
        <f>IF('Expenses Summary'!$E35="","",IF('Cash Flow %s Yr2'!E81="","",'Cash Flow %s Yr2'!E81*'Expenses Summary'!$E35))</f>
        <v>561.91000000000008</v>
      </c>
      <c r="F81" s="64">
        <f>IF('Expenses Summary'!$E35="","",IF('Cash Flow %s Yr2'!F81="","",'Cash Flow %s Yr2'!F81*'Expenses Summary'!$E35))</f>
        <v>561.91000000000008</v>
      </c>
      <c r="G81" s="64">
        <f>IF('Expenses Summary'!$E35="","",IF('Cash Flow %s Yr2'!G81="","",'Cash Flow %s Yr2'!G81*'Expenses Summary'!$E35))</f>
        <v>561.91000000000008</v>
      </c>
      <c r="H81" s="64">
        <f>IF('Expenses Summary'!$E35="","",IF('Cash Flow %s Yr2'!H81="","",'Cash Flow %s Yr2'!H81*'Expenses Summary'!$E35))</f>
        <v>561.91000000000008</v>
      </c>
      <c r="I81" s="64">
        <f>IF('Expenses Summary'!$E35="","",IF('Cash Flow %s Yr2'!I81="","",'Cash Flow %s Yr2'!I81*'Expenses Summary'!$E35))</f>
        <v>561.91000000000008</v>
      </c>
      <c r="J81" s="64">
        <f>IF('Expenses Summary'!$E35="","",IF('Cash Flow %s Yr2'!J81="","",'Cash Flow %s Yr2'!J81*'Expenses Summary'!$E35))</f>
        <v>561.91000000000008</v>
      </c>
      <c r="K81" s="64">
        <f>IF('Expenses Summary'!$E35="","",IF('Cash Flow %s Yr2'!K81="","",'Cash Flow %s Yr2'!K81*'Expenses Summary'!$E35))</f>
        <v>561.91000000000008</v>
      </c>
      <c r="L81" s="64">
        <f>IF('Expenses Summary'!$E35="","",IF('Cash Flow %s Yr2'!L81="","",'Cash Flow %s Yr2'!L81*'Expenses Summary'!$E35))</f>
        <v>568.68000000000006</v>
      </c>
      <c r="M81" s="64">
        <f>IF('Expenses Summary'!$E35="","",IF('Cash Flow %s Yr2'!M81="","",'Cash Flow %s Yr2'!M81*'Expenses Summary'!$E35))</f>
        <v>568.68000000000006</v>
      </c>
      <c r="N81" s="64">
        <f>IF('Expenses Summary'!$E35="","",IF('Cash Flow %s Yr2'!N81="","",'Cash Flow %s Yr2'!N81*'Expenses Summary'!$E35))</f>
        <v>568.68000000000006</v>
      </c>
      <c r="O81" s="64">
        <f>IF('Expenses Summary'!$E35="","",IF('Cash Flow %s Yr2'!O81="","",'Cash Flow %s Yr2'!O81*'Expenses Summary'!$E35))</f>
        <v>568.68000000000006</v>
      </c>
      <c r="P81" s="129"/>
      <c r="Q81" s="129"/>
      <c r="R81" s="129"/>
      <c r="S81" s="111">
        <f>IF(SUM(D81:R81)&gt;0,SUM(D81:R81)/'Expenses Summary'!$E35,"")</f>
        <v>1.0000000000000002</v>
      </c>
    </row>
    <row r="82" spans="1:19" s="31" customFormat="1" x14ac:dyDescent="0.2">
      <c r="A82" s="36"/>
      <c r="B82" s="67" t="str">
        <f>'Expenses Summary'!B36</f>
        <v>3323</v>
      </c>
      <c r="C82" s="67" t="str">
        <f>'Expenses Summary'!C36</f>
        <v>Medicare</v>
      </c>
      <c r="D82" s="64">
        <f>IF('Expenses Summary'!$E36="","",IF('Cash Flow %s Yr2'!D82="","",'Cash Flow %s Yr2'!D82*'Expenses Summary'!$E36))</f>
        <v>499.00239099999988</v>
      </c>
      <c r="E82" s="64">
        <f>IF('Expenses Summary'!$E36="","",IF('Cash Flow %s Yr2'!E82="","",'Cash Flow %s Yr2'!E82*'Expenses Summary'!$E36))</f>
        <v>499.00239099999988</v>
      </c>
      <c r="F82" s="64">
        <f>IF('Expenses Summary'!$E36="","",IF('Cash Flow %s Yr2'!F82="","",'Cash Flow %s Yr2'!F82*'Expenses Summary'!$E36))</f>
        <v>499.00239099999988</v>
      </c>
      <c r="G82" s="64">
        <f>IF('Expenses Summary'!$E36="","",IF('Cash Flow %s Yr2'!G82="","",'Cash Flow %s Yr2'!G82*'Expenses Summary'!$E36))</f>
        <v>499.00239099999988</v>
      </c>
      <c r="H82" s="64">
        <f>IF('Expenses Summary'!$E36="","",IF('Cash Flow %s Yr2'!H82="","",'Cash Flow %s Yr2'!H82*'Expenses Summary'!$E36))</f>
        <v>499.00239099999988</v>
      </c>
      <c r="I82" s="64">
        <f>IF('Expenses Summary'!$E36="","",IF('Cash Flow %s Yr2'!I82="","",'Cash Flow %s Yr2'!I82*'Expenses Summary'!$E36))</f>
        <v>499.00239099999988</v>
      </c>
      <c r="J82" s="64">
        <f>IF('Expenses Summary'!$E36="","",IF('Cash Flow %s Yr2'!J82="","",'Cash Flow %s Yr2'!J82*'Expenses Summary'!$E36))</f>
        <v>499.00239099999988</v>
      </c>
      <c r="K82" s="64">
        <f>IF('Expenses Summary'!$E36="","",IF('Cash Flow %s Yr2'!K82="","",'Cash Flow %s Yr2'!K82*'Expenses Summary'!$E36))</f>
        <v>499.00239099999988</v>
      </c>
      <c r="L82" s="64">
        <f>IF('Expenses Summary'!$E36="","",IF('Cash Flow %s Yr2'!L82="","",'Cash Flow %s Yr2'!L82*'Expenses Summary'!$E36))</f>
        <v>505.01446799999991</v>
      </c>
      <c r="M82" s="64">
        <f>IF('Expenses Summary'!$E36="","",IF('Cash Flow %s Yr2'!M82="","",'Cash Flow %s Yr2'!M82*'Expenses Summary'!$E36))</f>
        <v>505.01446799999991</v>
      </c>
      <c r="N82" s="64">
        <f>IF('Expenses Summary'!$E36="","",IF('Cash Flow %s Yr2'!N82="","",'Cash Flow %s Yr2'!N82*'Expenses Summary'!$E36))</f>
        <v>505.01446799999991</v>
      </c>
      <c r="O82" s="64">
        <f>IF('Expenses Summary'!$E36="","",IF('Cash Flow %s Yr2'!O82="","",'Cash Flow %s Yr2'!O82*'Expenses Summary'!$E36))</f>
        <v>505.01446799999991</v>
      </c>
      <c r="P82" s="129"/>
      <c r="Q82" s="129"/>
      <c r="R82" s="129"/>
      <c r="S82" s="111">
        <f>IF(SUM(D82:R82)&gt;0,SUM(D82:R82)/'Expenses Summary'!$E36,"")</f>
        <v>1.0000000000000002</v>
      </c>
    </row>
    <row r="83" spans="1:19" s="31" customFormat="1" x14ac:dyDescent="0.2">
      <c r="A83" s="36"/>
      <c r="B83" s="67" t="str">
        <f>'Expenses Summary'!B37</f>
        <v>3403</v>
      </c>
      <c r="C83" s="67" t="str">
        <f>'Expenses Summary'!C37</f>
        <v>Health &amp; Welfare Benefits</v>
      </c>
      <c r="D83" s="64">
        <f>IF('Expenses Summary'!$E37="","",IF('Cash Flow %s Yr2'!D83="","",'Cash Flow %s Yr2'!D83*'Expenses Summary'!$E37))</f>
        <v>6723</v>
      </c>
      <c r="E83" s="64">
        <f>IF('Expenses Summary'!$E37="","",IF('Cash Flow %s Yr2'!E83="","",'Cash Flow %s Yr2'!E83*'Expenses Summary'!$E37))</f>
        <v>6723</v>
      </c>
      <c r="F83" s="64">
        <f>IF('Expenses Summary'!$E37="","",IF('Cash Flow %s Yr2'!F83="","",'Cash Flow %s Yr2'!F83*'Expenses Summary'!$E37))</f>
        <v>6723</v>
      </c>
      <c r="G83" s="64">
        <f>IF('Expenses Summary'!$E37="","",IF('Cash Flow %s Yr2'!G83="","",'Cash Flow %s Yr2'!G83*'Expenses Summary'!$E37))</f>
        <v>6723</v>
      </c>
      <c r="H83" s="64">
        <f>IF('Expenses Summary'!$E37="","",IF('Cash Flow %s Yr2'!H83="","",'Cash Flow %s Yr2'!H83*'Expenses Summary'!$E37))</f>
        <v>6723</v>
      </c>
      <c r="I83" s="64">
        <f>IF('Expenses Summary'!$E37="","",IF('Cash Flow %s Yr2'!I83="","",'Cash Flow %s Yr2'!I83*'Expenses Summary'!$E37))</f>
        <v>6723</v>
      </c>
      <c r="J83" s="64">
        <f>IF('Expenses Summary'!$E37="","",IF('Cash Flow %s Yr2'!J83="","",'Cash Flow %s Yr2'!J83*'Expenses Summary'!$E37))</f>
        <v>6723</v>
      </c>
      <c r="K83" s="64">
        <f>IF('Expenses Summary'!$E37="","",IF('Cash Flow %s Yr2'!K83="","",'Cash Flow %s Yr2'!K83*'Expenses Summary'!$E37))</f>
        <v>6723</v>
      </c>
      <c r="L83" s="64">
        <f>IF('Expenses Summary'!$E37="","",IF('Cash Flow %s Yr2'!L83="","",'Cash Flow %s Yr2'!L83*'Expenses Summary'!$E37))</f>
        <v>6804</v>
      </c>
      <c r="M83" s="64">
        <f>IF('Expenses Summary'!$E37="","",IF('Cash Flow %s Yr2'!M83="","",'Cash Flow %s Yr2'!M83*'Expenses Summary'!$E37))</f>
        <v>6804</v>
      </c>
      <c r="N83" s="64">
        <f>IF('Expenses Summary'!$E37="","",IF('Cash Flow %s Yr2'!N83="","",'Cash Flow %s Yr2'!N83*'Expenses Summary'!$E37))</f>
        <v>6804</v>
      </c>
      <c r="O83" s="64">
        <f>IF('Expenses Summary'!$E37="","",IF('Cash Flow %s Yr2'!O83="","",'Cash Flow %s Yr2'!O83*'Expenses Summary'!$E37))</f>
        <v>6804</v>
      </c>
      <c r="P83" s="129"/>
      <c r="Q83" s="129"/>
      <c r="R83" s="129"/>
      <c r="S83" s="111">
        <f>IF(SUM(D83:R83)&gt;0,SUM(D83:R83)/'Expenses Summary'!$E37,"")</f>
        <v>1</v>
      </c>
    </row>
    <row r="84" spans="1:19" s="31" customFormat="1" x14ac:dyDescent="0.2">
      <c r="A84" s="36"/>
      <c r="B84" s="67" t="str">
        <f>'Expenses Summary'!B38</f>
        <v>3503</v>
      </c>
      <c r="C84" s="67" t="str">
        <f>'Expenses Summary'!C38</f>
        <v>State Unemployment Insurance</v>
      </c>
      <c r="D84" s="64">
        <f>IF('Expenses Summary'!$E38="","",IF('Cash Flow %s Yr2'!D84="","",'Cash Flow %s Yr2'!D84*'Expenses Summary'!$E38))</f>
        <v>688.27916000000005</v>
      </c>
      <c r="E84" s="64">
        <f>IF('Expenses Summary'!$E38="","",IF('Cash Flow %s Yr2'!E84="","",'Cash Flow %s Yr2'!E84*'Expenses Summary'!$E38))</f>
        <v>688.27916000000005</v>
      </c>
      <c r="F84" s="64">
        <f>IF('Expenses Summary'!$E38="","",IF('Cash Flow %s Yr2'!F84="","",'Cash Flow %s Yr2'!F84*'Expenses Summary'!$E38))</f>
        <v>688.27916000000005</v>
      </c>
      <c r="G84" s="64">
        <f>IF('Expenses Summary'!$E38="","",IF('Cash Flow %s Yr2'!G84="","",'Cash Flow %s Yr2'!G84*'Expenses Summary'!$E38))</f>
        <v>688.27916000000005</v>
      </c>
      <c r="H84" s="64">
        <f>IF('Expenses Summary'!$E38="","",IF('Cash Flow %s Yr2'!H84="","",'Cash Flow %s Yr2'!H84*'Expenses Summary'!$E38))</f>
        <v>688.27916000000005</v>
      </c>
      <c r="I84" s="64">
        <f>IF('Expenses Summary'!$E38="","",IF('Cash Flow %s Yr2'!I84="","",'Cash Flow %s Yr2'!I84*'Expenses Summary'!$E38))</f>
        <v>688.27916000000005</v>
      </c>
      <c r="J84" s="64">
        <f>IF('Expenses Summary'!$E38="","",IF('Cash Flow %s Yr2'!J84="","",'Cash Flow %s Yr2'!J84*'Expenses Summary'!$E38))</f>
        <v>688.27916000000005</v>
      </c>
      <c r="K84" s="64">
        <f>IF('Expenses Summary'!$E38="","",IF('Cash Flow %s Yr2'!K84="","",'Cash Flow %s Yr2'!K84*'Expenses Summary'!$E38))</f>
        <v>688.27916000000005</v>
      </c>
      <c r="L84" s="64">
        <f>IF('Expenses Summary'!$E38="","",IF('Cash Flow %s Yr2'!L84="","",'Cash Flow %s Yr2'!L84*'Expenses Summary'!$E38))</f>
        <v>696.57168000000013</v>
      </c>
      <c r="M84" s="64">
        <f>IF('Expenses Summary'!$E38="","",IF('Cash Flow %s Yr2'!M84="","",'Cash Flow %s Yr2'!M84*'Expenses Summary'!$E38))</f>
        <v>696.57168000000013</v>
      </c>
      <c r="N84" s="64">
        <f>IF('Expenses Summary'!$E38="","",IF('Cash Flow %s Yr2'!N84="","",'Cash Flow %s Yr2'!N84*'Expenses Summary'!$E38))</f>
        <v>696.57168000000013</v>
      </c>
      <c r="O84" s="64">
        <f>IF('Expenses Summary'!$E38="","",IF('Cash Flow %s Yr2'!O84="","",'Cash Flow %s Yr2'!O84*'Expenses Summary'!$E38))</f>
        <v>696.57168000000013</v>
      </c>
      <c r="P84" s="129"/>
      <c r="Q84" s="129"/>
      <c r="R84" s="129"/>
      <c r="S84" s="111">
        <f>IF(SUM(D84:R84)&gt;0,SUM(D84:R84)/'Expenses Summary'!$E38,"")</f>
        <v>1</v>
      </c>
    </row>
    <row r="85" spans="1:19" s="31" customFormat="1" x14ac:dyDescent="0.2">
      <c r="A85" s="36"/>
      <c r="B85" s="67" t="str">
        <f>'Expenses Summary'!B39</f>
        <v>3603</v>
      </c>
      <c r="C85" s="67" t="str">
        <f>'Expenses Summary'!C39</f>
        <v>Worker Compensation Insurance</v>
      </c>
      <c r="D85" s="64">
        <f>IF('Expenses Summary'!$E39="","",IF('Cash Flow %s Yr2'!D85="","",'Cash Flow %s Yr2'!D85*'Expenses Summary'!$E39))</f>
        <v>412.96749599999998</v>
      </c>
      <c r="E85" s="64">
        <f>IF('Expenses Summary'!$E39="","",IF('Cash Flow %s Yr2'!E85="","",'Cash Flow %s Yr2'!E85*'Expenses Summary'!$E39))</f>
        <v>412.96749599999998</v>
      </c>
      <c r="F85" s="64">
        <f>IF('Expenses Summary'!$E39="","",IF('Cash Flow %s Yr2'!F85="","",'Cash Flow %s Yr2'!F85*'Expenses Summary'!$E39))</f>
        <v>412.96749599999998</v>
      </c>
      <c r="G85" s="64">
        <f>IF('Expenses Summary'!$E39="","",IF('Cash Flow %s Yr2'!G85="","",'Cash Flow %s Yr2'!G85*'Expenses Summary'!$E39))</f>
        <v>412.96749599999998</v>
      </c>
      <c r="H85" s="64">
        <f>IF('Expenses Summary'!$E39="","",IF('Cash Flow %s Yr2'!H85="","",'Cash Flow %s Yr2'!H85*'Expenses Summary'!$E39))</f>
        <v>412.96749599999998</v>
      </c>
      <c r="I85" s="64">
        <f>IF('Expenses Summary'!$E39="","",IF('Cash Flow %s Yr2'!I85="","",'Cash Flow %s Yr2'!I85*'Expenses Summary'!$E39))</f>
        <v>412.96749599999998</v>
      </c>
      <c r="J85" s="64">
        <f>IF('Expenses Summary'!$E39="","",IF('Cash Flow %s Yr2'!J85="","",'Cash Flow %s Yr2'!J85*'Expenses Summary'!$E39))</f>
        <v>412.96749599999998</v>
      </c>
      <c r="K85" s="64">
        <f>IF('Expenses Summary'!$E39="","",IF('Cash Flow %s Yr2'!K85="","",'Cash Flow %s Yr2'!K85*'Expenses Summary'!$E39))</f>
        <v>412.96749599999998</v>
      </c>
      <c r="L85" s="64">
        <f>IF('Expenses Summary'!$E39="","",IF('Cash Flow %s Yr2'!L85="","",'Cash Flow %s Yr2'!L85*'Expenses Summary'!$E39))</f>
        <v>417.94300800000002</v>
      </c>
      <c r="M85" s="64">
        <f>IF('Expenses Summary'!$E39="","",IF('Cash Flow %s Yr2'!M85="","",'Cash Flow %s Yr2'!M85*'Expenses Summary'!$E39))</f>
        <v>417.94300800000002</v>
      </c>
      <c r="N85" s="64">
        <f>IF('Expenses Summary'!$E39="","",IF('Cash Flow %s Yr2'!N85="","",'Cash Flow %s Yr2'!N85*'Expenses Summary'!$E39))</f>
        <v>417.94300800000002</v>
      </c>
      <c r="O85" s="64">
        <f>IF('Expenses Summary'!$E39="","",IF('Cash Flow %s Yr2'!O85="","",'Cash Flow %s Yr2'!O85*'Expenses Summary'!$E39))</f>
        <v>417.94300800000002</v>
      </c>
      <c r="P85" s="129"/>
      <c r="Q85" s="129"/>
      <c r="R85" s="129"/>
      <c r="S85" s="111">
        <f>IF(SUM(D85:R85)&gt;0,SUM(D85:R85)/'Expenses Summary'!$E39,"")</f>
        <v>1.0000000000000004</v>
      </c>
    </row>
    <row r="86" spans="1:19" s="31" customFormat="1" x14ac:dyDescent="0.2">
      <c r="A86" s="36"/>
      <c r="B86" s="67" t="str">
        <f>'Expenses Summary'!B40</f>
        <v>3703</v>
      </c>
      <c r="C86" s="67" t="str">
        <f>'Expenses Summary'!C40</f>
        <v>Other Post Employement Benefits</v>
      </c>
      <c r="D86" s="64">
        <f>IF('Expenses Summary'!$E40="","",IF('Cash Flow %s Yr2'!D86="","",'Cash Flow %s Yr2'!D86*'Expenses Summary'!$E40))</f>
        <v>0</v>
      </c>
      <c r="E86" s="64">
        <f>IF('Expenses Summary'!$E40="","",IF('Cash Flow %s Yr2'!E86="","",'Cash Flow %s Yr2'!E86*'Expenses Summary'!$E40))</f>
        <v>0</v>
      </c>
      <c r="F86" s="64">
        <f>IF('Expenses Summary'!$E40="","",IF('Cash Flow %s Yr2'!F86="","",'Cash Flow %s Yr2'!F86*'Expenses Summary'!$E40))</f>
        <v>0</v>
      </c>
      <c r="G86" s="64">
        <f>IF('Expenses Summary'!$E40="","",IF('Cash Flow %s Yr2'!G86="","",'Cash Flow %s Yr2'!G86*'Expenses Summary'!$E40))</f>
        <v>0</v>
      </c>
      <c r="H86" s="64">
        <f>IF('Expenses Summary'!$E40="","",IF('Cash Flow %s Yr2'!H86="","",'Cash Flow %s Yr2'!H86*'Expenses Summary'!$E40))</f>
        <v>0</v>
      </c>
      <c r="I86" s="64">
        <f>IF('Expenses Summary'!$E40="","",IF('Cash Flow %s Yr2'!I86="","",'Cash Flow %s Yr2'!I86*'Expenses Summary'!$E40))</f>
        <v>0</v>
      </c>
      <c r="J86" s="64">
        <f>IF('Expenses Summary'!$E40="","",IF('Cash Flow %s Yr2'!J86="","",'Cash Flow %s Yr2'!J86*'Expenses Summary'!$E40))</f>
        <v>0</v>
      </c>
      <c r="K86" s="64">
        <f>IF('Expenses Summary'!$E40="","",IF('Cash Flow %s Yr2'!K86="","",'Cash Flow %s Yr2'!K86*'Expenses Summary'!$E40))</f>
        <v>0</v>
      </c>
      <c r="L86" s="64">
        <f>IF('Expenses Summary'!$E40="","",IF('Cash Flow %s Yr2'!L86="","",'Cash Flow %s Yr2'!L86*'Expenses Summary'!$E40))</f>
        <v>0</v>
      </c>
      <c r="M86" s="64">
        <f>IF('Expenses Summary'!$E40="","",IF('Cash Flow %s Yr2'!M86="","",'Cash Flow %s Yr2'!M86*'Expenses Summary'!$E40))</f>
        <v>0</v>
      </c>
      <c r="N86" s="64">
        <f>IF('Expenses Summary'!$E40="","",IF('Cash Flow %s Yr2'!N86="","",'Cash Flow %s Yr2'!N86*'Expenses Summary'!$E40))</f>
        <v>0</v>
      </c>
      <c r="O86" s="64">
        <f>IF('Expenses Summary'!$E40="","",IF('Cash Flow %s Yr2'!O86="","",'Cash Flow %s Yr2'!O86*'Expenses Summary'!$E40))</f>
        <v>0</v>
      </c>
      <c r="P86" s="129"/>
      <c r="Q86" s="129"/>
      <c r="R86" s="129"/>
      <c r="S86" s="111" t="str">
        <f>IF(SUM(D86:R86)&gt;0,SUM(D86:R86)/'Expenses Summary'!$E40,"")</f>
        <v/>
      </c>
    </row>
    <row r="87" spans="1:19" s="31" customFormat="1" x14ac:dyDescent="0.2">
      <c r="A87" s="36"/>
      <c r="B87" s="67" t="str">
        <f>'Expenses Summary'!B41</f>
        <v>3903</v>
      </c>
      <c r="C87" s="67" t="str">
        <f>'Expenses Summary'!C41</f>
        <v>Other Benefits</v>
      </c>
      <c r="D87" s="64">
        <f>IF('Expenses Summary'!$E41="","",IF('Cash Flow %s Yr2'!D87="","",'Cash Flow %s Yr2'!D87*'Expenses Summary'!$E41))</f>
        <v>0</v>
      </c>
      <c r="E87" s="64">
        <f>IF('Expenses Summary'!$E41="","",IF('Cash Flow %s Yr2'!E87="","",'Cash Flow %s Yr2'!E87*'Expenses Summary'!$E41))</f>
        <v>0</v>
      </c>
      <c r="F87" s="64">
        <f>IF('Expenses Summary'!$E41="","",IF('Cash Flow %s Yr2'!F87="","",'Cash Flow %s Yr2'!F87*'Expenses Summary'!$E41))</f>
        <v>0</v>
      </c>
      <c r="G87" s="64">
        <f>IF('Expenses Summary'!$E41="","",IF('Cash Flow %s Yr2'!G87="","",'Cash Flow %s Yr2'!G87*'Expenses Summary'!$E41))</f>
        <v>0</v>
      </c>
      <c r="H87" s="64">
        <f>IF('Expenses Summary'!$E41="","",IF('Cash Flow %s Yr2'!H87="","",'Cash Flow %s Yr2'!H87*'Expenses Summary'!$E41))</f>
        <v>0</v>
      </c>
      <c r="I87" s="64">
        <f>IF('Expenses Summary'!$E41="","",IF('Cash Flow %s Yr2'!I87="","",'Cash Flow %s Yr2'!I87*'Expenses Summary'!$E41))</f>
        <v>0</v>
      </c>
      <c r="J87" s="64">
        <f>IF('Expenses Summary'!$E41="","",IF('Cash Flow %s Yr2'!J87="","",'Cash Flow %s Yr2'!J87*'Expenses Summary'!$E41))</f>
        <v>0</v>
      </c>
      <c r="K87" s="64">
        <f>IF('Expenses Summary'!$E41="","",IF('Cash Flow %s Yr2'!K87="","",'Cash Flow %s Yr2'!K87*'Expenses Summary'!$E41))</f>
        <v>0</v>
      </c>
      <c r="L87" s="64">
        <f>IF('Expenses Summary'!$E41="","",IF('Cash Flow %s Yr2'!L87="","",'Cash Flow %s Yr2'!L87*'Expenses Summary'!$E41))</f>
        <v>0</v>
      </c>
      <c r="M87" s="64">
        <f>IF('Expenses Summary'!$E41="","",IF('Cash Flow %s Yr2'!M87="","",'Cash Flow %s Yr2'!M87*'Expenses Summary'!$E41))</f>
        <v>0</v>
      </c>
      <c r="N87" s="64">
        <f>IF('Expenses Summary'!$E41="","",IF('Cash Flow %s Yr2'!N87="","",'Cash Flow %s Yr2'!N87*'Expenses Summary'!$E41))</f>
        <v>0</v>
      </c>
      <c r="O87" s="64">
        <f>IF('Expenses Summary'!$E41="","",IF('Cash Flow %s Yr2'!O87="","",'Cash Flow %s Yr2'!O87*'Expenses Summary'!$E41))</f>
        <v>0</v>
      </c>
      <c r="P87" s="129"/>
      <c r="Q87" s="129"/>
      <c r="R87" s="129"/>
      <c r="S87" s="111" t="str">
        <f>IF(SUM(D87:R87)&gt;0,SUM(D87:R87)/'Expenses Summary'!$E41,"")</f>
        <v/>
      </c>
    </row>
    <row r="88" spans="1:19" s="31" customFormat="1" x14ac:dyDescent="0.2">
      <c r="A88" s="36"/>
      <c r="B88" s="43" t="s">
        <v>739</v>
      </c>
      <c r="C88" s="34" t="s">
        <v>721</v>
      </c>
      <c r="D88" s="172">
        <f t="shared" ref="D88:O88" si="8">IF(SUM(D78:D87)&gt;0,SUM(D78:D87),"")</f>
        <v>12083.4225154</v>
      </c>
      <c r="E88" s="172">
        <f t="shared" si="8"/>
        <v>12083.4225154</v>
      </c>
      <c r="F88" s="172">
        <f t="shared" si="8"/>
        <v>12083.4225154</v>
      </c>
      <c r="G88" s="172">
        <f t="shared" si="8"/>
        <v>12083.4225154</v>
      </c>
      <c r="H88" s="172">
        <f t="shared" si="8"/>
        <v>12083.4225154</v>
      </c>
      <c r="I88" s="172">
        <f t="shared" si="8"/>
        <v>12083.4225154</v>
      </c>
      <c r="J88" s="172">
        <f t="shared" si="8"/>
        <v>12083.4225154</v>
      </c>
      <c r="K88" s="172">
        <f t="shared" si="8"/>
        <v>12083.4225154</v>
      </c>
      <c r="L88" s="172">
        <f t="shared" si="8"/>
        <v>12229.005919200003</v>
      </c>
      <c r="M88" s="172">
        <f t="shared" si="8"/>
        <v>12229.005919200003</v>
      </c>
      <c r="N88" s="172">
        <f t="shared" si="8"/>
        <v>12229.005919200003</v>
      </c>
      <c r="O88" s="172">
        <f t="shared" si="8"/>
        <v>12229.005919200003</v>
      </c>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row>
    <row r="90" spans="1:19" s="31" customFormat="1" x14ac:dyDescent="0.2">
      <c r="B90" s="34" t="s">
        <v>678</v>
      </c>
      <c r="C90" s="3"/>
      <c r="D90" s="95"/>
      <c r="E90" s="95"/>
      <c r="F90" s="95"/>
      <c r="G90" s="95"/>
      <c r="H90" s="95"/>
      <c r="I90" s="95"/>
      <c r="J90" s="95"/>
      <c r="K90" s="95"/>
      <c r="L90" s="95"/>
      <c r="M90" s="95"/>
      <c r="N90" s="95"/>
      <c r="O90" s="95"/>
      <c r="P90" s="95"/>
      <c r="Q90" s="95"/>
      <c r="R90" s="95"/>
    </row>
    <row r="91" spans="1:19" s="31" customFormat="1" x14ac:dyDescent="0.2">
      <c r="A91" s="36"/>
      <c r="B91" s="139" t="str">
        <f>'Expenses Summary'!B47</f>
        <v>4100</v>
      </c>
      <c r="C91" s="139" t="str">
        <f>'Expenses Summary'!C47</f>
        <v>Approved Textbooks and Core Curricula Materials</v>
      </c>
      <c r="D91" s="64">
        <f>IF('Expenses Summary'!$E47="","",IF('Cash Flow %s Yr2'!D91="","",'Cash Flow %s Yr2'!D91*'Expenses Summary'!$E47))</f>
        <v>0</v>
      </c>
      <c r="E91" s="64">
        <f>IF('Expenses Summary'!$E47="","",IF('Cash Flow %s Yr2'!E91="","",'Cash Flow %s Yr2'!E91*'Expenses Summary'!$E47))</f>
        <v>0</v>
      </c>
      <c r="F91" s="64">
        <f>IF('Expenses Summary'!$E47="","",IF('Cash Flow %s Yr2'!F91="","",'Cash Flow %s Yr2'!F91*'Expenses Summary'!$E47))</f>
        <v>0</v>
      </c>
      <c r="G91" s="64">
        <f>IF('Expenses Summary'!$E47="","",IF('Cash Flow %s Yr2'!G91="","",'Cash Flow %s Yr2'!G91*'Expenses Summary'!$E47))</f>
        <v>0</v>
      </c>
      <c r="H91" s="64">
        <f>IF('Expenses Summary'!$E47="","",IF('Cash Flow %s Yr2'!H91="","",'Cash Flow %s Yr2'!H91*'Expenses Summary'!$E47))</f>
        <v>6847.3225000000002</v>
      </c>
      <c r="I91" s="64">
        <f>IF('Expenses Summary'!$E47="","",IF('Cash Flow %s Yr2'!I91="","",'Cash Flow %s Yr2'!I91*'Expenses Summary'!$E47))</f>
        <v>6847.3225000000002</v>
      </c>
      <c r="J91" s="64">
        <f>IF('Expenses Summary'!$E47="","",IF('Cash Flow %s Yr2'!J91="","",'Cash Flow %s Yr2'!J91*'Expenses Summary'!$E47))</f>
        <v>6847.3225000000002</v>
      </c>
      <c r="K91" s="64">
        <f>IF('Expenses Summary'!$E47="","",IF('Cash Flow %s Yr2'!K91="","",'Cash Flow %s Yr2'!K91*'Expenses Summary'!$E47))</f>
        <v>0</v>
      </c>
      <c r="L91" s="64">
        <f>IF('Expenses Summary'!$E47="","",IF('Cash Flow %s Yr2'!L91="","",'Cash Flow %s Yr2'!L91*'Expenses Summary'!$E47))</f>
        <v>6847.3225000000002</v>
      </c>
      <c r="M91" s="64">
        <f>IF('Expenses Summary'!$E47="","",IF('Cash Flow %s Yr2'!M91="","",'Cash Flow %s Yr2'!M91*'Expenses Summary'!$E47))</f>
        <v>0</v>
      </c>
      <c r="N91" s="64">
        <f>IF('Expenses Summary'!$E47="","",IF('Cash Flow %s Yr2'!N91="","",'Cash Flow %s Yr2'!N91*'Expenses Summary'!$E47))</f>
        <v>0</v>
      </c>
      <c r="O91" s="64">
        <f>IF('Expenses Summary'!$E47="","",IF('Cash Flow %s Yr2'!O91="","",'Cash Flow %s Yr2'!O91*'Expenses Summary'!$E47))</f>
        <v>0</v>
      </c>
      <c r="P91" s="129"/>
      <c r="Q91" s="129"/>
      <c r="R91" s="129"/>
      <c r="S91" s="111">
        <f>IF(SUM(D91:R91)&gt;0,SUM(D91:R91)/'Expenses Summary'!$E47,"")</f>
        <v>1</v>
      </c>
    </row>
    <row r="92" spans="1:19" x14ac:dyDescent="0.2">
      <c r="A92" s="36"/>
      <c r="B92" s="139" t="str">
        <f>'Expenses Summary'!B48</f>
        <v>4200</v>
      </c>
      <c r="C92" s="139" t="str">
        <f>'Expenses Summary'!C48</f>
        <v>Books and Other Reference Materials</v>
      </c>
      <c r="D92" s="64">
        <f>IF('Expenses Summary'!$E48="","",IF('Cash Flow %s Yr2'!D92="","",'Cash Flow %s Yr2'!D92*'Expenses Summary'!$E48))</f>
        <v>0</v>
      </c>
      <c r="E92" s="64">
        <f>IF('Expenses Summary'!$E48="","",IF('Cash Flow %s Yr2'!E92="","",'Cash Flow %s Yr2'!E92*'Expenses Summary'!$E48))</f>
        <v>0</v>
      </c>
      <c r="F92" s="64">
        <f>IF('Expenses Summary'!$E48="","",IF('Cash Flow %s Yr2'!F92="","",'Cash Flow %s Yr2'!F92*'Expenses Summary'!$E48))</f>
        <v>0</v>
      </c>
      <c r="G92" s="64">
        <f>IF('Expenses Summary'!$E48="","",IF('Cash Flow %s Yr2'!G92="","",'Cash Flow %s Yr2'!G92*'Expenses Summary'!$E48))</f>
        <v>0</v>
      </c>
      <c r="H92" s="64">
        <f>IF('Expenses Summary'!$E48="","",IF('Cash Flow %s Yr2'!H92="","",'Cash Flow %s Yr2'!H92*'Expenses Summary'!$E48))</f>
        <v>526.81500000000005</v>
      </c>
      <c r="I92" s="64">
        <f>IF('Expenses Summary'!$E48="","",IF('Cash Flow %s Yr2'!I92="","",'Cash Flow %s Yr2'!I92*'Expenses Summary'!$E48))</f>
        <v>526.81500000000005</v>
      </c>
      <c r="J92" s="64">
        <f>IF('Expenses Summary'!$E48="","",IF('Cash Flow %s Yr2'!J92="","",'Cash Flow %s Yr2'!J92*'Expenses Summary'!$E48))</f>
        <v>526.81500000000005</v>
      </c>
      <c r="K92" s="64">
        <f>IF('Expenses Summary'!$E48="","",IF('Cash Flow %s Yr2'!K92="","",'Cash Flow %s Yr2'!K92*'Expenses Summary'!$E48))</f>
        <v>0</v>
      </c>
      <c r="L92" s="64">
        <f>IF('Expenses Summary'!$E48="","",IF('Cash Flow %s Yr2'!L92="","",'Cash Flow %s Yr2'!L92*'Expenses Summary'!$E48))</f>
        <v>526.81500000000005</v>
      </c>
      <c r="M92" s="64">
        <f>IF('Expenses Summary'!$E48="","",IF('Cash Flow %s Yr2'!M92="","",'Cash Flow %s Yr2'!M92*'Expenses Summary'!$E48))</f>
        <v>0</v>
      </c>
      <c r="N92" s="64">
        <f>IF('Expenses Summary'!$E48="","",IF('Cash Flow %s Yr2'!N92="","",'Cash Flow %s Yr2'!N92*'Expenses Summary'!$E48))</f>
        <v>0</v>
      </c>
      <c r="O92" s="64">
        <f>IF('Expenses Summary'!$E48="","",IF('Cash Flow %s Yr2'!O92="","",'Cash Flow %s Yr2'!O92*'Expenses Summary'!$E48))</f>
        <v>0</v>
      </c>
      <c r="P92" s="129"/>
      <c r="Q92" s="129"/>
      <c r="R92" s="129"/>
      <c r="S92" s="111">
        <f>IF(SUM(D92:R92)&gt;0,SUM(D92:R92)/'Expenses Summary'!$E48,"")</f>
        <v>1</v>
      </c>
    </row>
    <row r="93" spans="1:19" x14ac:dyDescent="0.2">
      <c r="A93" s="36"/>
      <c r="B93" s="139" t="str">
        <f>'Expenses Summary'!B49</f>
        <v>4300</v>
      </c>
      <c r="C93" s="139" t="str">
        <f>'Expenses Summary'!C49</f>
        <v>Materials and Supplies</v>
      </c>
      <c r="D93" s="64">
        <f>IF('Expenses Summary'!$E49="","",IF('Cash Flow %s Yr2'!D93="","",'Cash Flow %s Yr2'!D93*'Expenses Summary'!$E49))</f>
        <v>0</v>
      </c>
      <c r="E93" s="64">
        <f>IF('Expenses Summary'!$E49="","",IF('Cash Flow %s Yr2'!E93="","",'Cash Flow %s Yr2'!E93*'Expenses Summary'!$E49))</f>
        <v>0</v>
      </c>
      <c r="F93" s="64">
        <f>IF('Expenses Summary'!$E49="","",IF('Cash Flow %s Yr2'!F93="","",'Cash Flow %s Yr2'!F93*'Expenses Summary'!$E49))</f>
        <v>1645.1898000000001</v>
      </c>
      <c r="G93" s="64">
        <f>IF('Expenses Summary'!$E49="","",IF('Cash Flow %s Yr2'!G93="","",'Cash Flow %s Yr2'!G93*'Expenses Summary'!$E49))</f>
        <v>0</v>
      </c>
      <c r="H93" s="64">
        <f>IF('Expenses Summary'!$E49="","",IF('Cash Flow %s Yr2'!H93="","",'Cash Flow %s Yr2'!H93*'Expenses Summary'!$E49))</f>
        <v>1645.1898000000001</v>
      </c>
      <c r="I93" s="64">
        <f>IF('Expenses Summary'!$E49="","",IF('Cash Flow %s Yr2'!I93="","",'Cash Flow %s Yr2'!I93*'Expenses Summary'!$E49))</f>
        <v>0</v>
      </c>
      <c r="J93" s="64">
        <f>IF('Expenses Summary'!$E49="","",IF('Cash Flow %s Yr2'!J93="","",'Cash Flow %s Yr2'!J93*'Expenses Summary'!$E49))</f>
        <v>1645.1898000000001</v>
      </c>
      <c r="K93" s="64">
        <f>IF('Expenses Summary'!$E49="","",IF('Cash Flow %s Yr2'!K93="","",'Cash Flow %s Yr2'!K93*'Expenses Summary'!$E49))</f>
        <v>0</v>
      </c>
      <c r="L93" s="64">
        <f>IF('Expenses Summary'!$E49="","",IF('Cash Flow %s Yr2'!L93="","",'Cash Flow %s Yr2'!L93*'Expenses Summary'!$E49))</f>
        <v>548.39660000000003</v>
      </c>
      <c r="M93" s="64">
        <f>IF('Expenses Summary'!$E49="","",IF('Cash Flow %s Yr2'!M93="","",'Cash Flow %s Yr2'!M93*'Expenses Summary'!$E49))</f>
        <v>0</v>
      </c>
      <c r="N93" s="64">
        <f>IF('Expenses Summary'!$E49="","",IF('Cash Flow %s Yr2'!N93="","",'Cash Flow %s Yr2'!N93*'Expenses Summary'!$E49))</f>
        <v>0</v>
      </c>
      <c r="O93" s="64">
        <f>IF('Expenses Summary'!$E49="","",IF('Cash Flow %s Yr2'!O93="","",'Cash Flow %s Yr2'!O93*'Expenses Summary'!$E49))</f>
        <v>0</v>
      </c>
      <c r="P93" s="129"/>
      <c r="Q93" s="129"/>
      <c r="R93" s="129"/>
      <c r="S93" s="111">
        <f>IF(SUM(D93:R93)&gt;0,SUM(D93:R93)/'Expenses Summary'!$E49,"")</f>
        <v>1</v>
      </c>
    </row>
    <row r="94" spans="1:19" x14ac:dyDescent="0.2">
      <c r="A94" s="36"/>
      <c r="B94" s="139" t="str">
        <f>'Expenses Summary'!B50</f>
        <v>4315</v>
      </c>
      <c r="C94" s="139" t="str">
        <f>'Expenses Summary'!C50</f>
        <v>Classroom Materials and Supplies</v>
      </c>
      <c r="D94" s="64">
        <f>IF('Expenses Summary'!$E50="","",IF('Cash Flow %s Yr2'!D94="","",'Cash Flow %s Yr2'!D94*'Expenses Summary'!$E50))</f>
        <v>0</v>
      </c>
      <c r="E94" s="64">
        <f>IF('Expenses Summary'!$E50="","",IF('Cash Flow %s Yr2'!E94="","",'Cash Flow %s Yr2'!E94*'Expenses Summary'!$E50))</f>
        <v>0</v>
      </c>
      <c r="F94" s="64">
        <f>IF('Expenses Summary'!$E50="","",IF('Cash Flow %s Yr2'!F94="","",'Cash Flow %s Yr2'!F94*'Expenses Summary'!$E50))</f>
        <v>357.52160000000003</v>
      </c>
      <c r="G94" s="64">
        <f>IF('Expenses Summary'!$E50="","",IF('Cash Flow %s Yr2'!G94="","",'Cash Flow %s Yr2'!G94*'Expenses Summary'!$E50))</f>
        <v>357.52160000000003</v>
      </c>
      <c r="H94" s="64">
        <f>IF('Expenses Summary'!$E50="","",IF('Cash Flow %s Yr2'!H94="","",'Cash Flow %s Yr2'!H94*'Expenses Summary'!$E50))</f>
        <v>715.04320000000007</v>
      </c>
      <c r="I94" s="64">
        <f>IF('Expenses Summary'!$E50="","",IF('Cash Flow %s Yr2'!I94="","",'Cash Flow %s Yr2'!I94*'Expenses Summary'!$E50))</f>
        <v>357.52160000000003</v>
      </c>
      <c r="J94" s="64">
        <f>IF('Expenses Summary'!$E50="","",IF('Cash Flow %s Yr2'!J94="","",'Cash Flow %s Yr2'!J94*'Expenses Summary'!$E50))</f>
        <v>715.04320000000007</v>
      </c>
      <c r="K94" s="64">
        <f>IF('Expenses Summary'!$E50="","",IF('Cash Flow %s Yr2'!K94="","",'Cash Flow %s Yr2'!K94*'Expenses Summary'!$E50))</f>
        <v>357.52160000000003</v>
      </c>
      <c r="L94" s="64">
        <f>IF('Expenses Summary'!$E50="","",IF('Cash Flow %s Yr2'!L94="","",'Cash Flow %s Yr2'!L94*'Expenses Summary'!$E50))</f>
        <v>357.52160000000003</v>
      </c>
      <c r="M94" s="64">
        <f>IF('Expenses Summary'!$E50="","",IF('Cash Flow %s Yr2'!M94="","",'Cash Flow %s Yr2'!M94*'Expenses Summary'!$E50))</f>
        <v>357.52160000000003</v>
      </c>
      <c r="N94" s="64">
        <f>IF('Expenses Summary'!$E50="","",IF('Cash Flow %s Yr2'!N94="","",'Cash Flow %s Yr2'!N94*'Expenses Summary'!$E50))</f>
        <v>0</v>
      </c>
      <c r="O94" s="64">
        <f>IF('Expenses Summary'!$E50="","",IF('Cash Flow %s Yr2'!O94="","",'Cash Flow %s Yr2'!O94*'Expenses Summary'!$E50))</f>
        <v>0</v>
      </c>
      <c r="P94" s="129"/>
      <c r="Q94" s="129"/>
      <c r="R94" s="129"/>
      <c r="S94" s="111">
        <f>IF(SUM(D94:R94)&gt;0,SUM(D94:R94)/'Expenses Summary'!$E50,"")</f>
        <v>1.0000000000000002</v>
      </c>
    </row>
    <row r="95" spans="1:19" x14ac:dyDescent="0.2">
      <c r="A95" s="36"/>
      <c r="B95" s="139" t="str">
        <f>'Expenses Summary'!B51</f>
        <v>4400</v>
      </c>
      <c r="C95" s="139" t="str">
        <f>'Expenses Summary'!C51</f>
        <v>Noncapitalized Equipment</v>
      </c>
      <c r="D95" s="64">
        <f>IF('Expenses Summary'!$E51="","",IF('Cash Flow %s Yr2'!D95="","",'Cash Flow %s Yr2'!D95*'Expenses Summary'!$E51))</f>
        <v>830</v>
      </c>
      <c r="E95" s="64">
        <f>IF('Expenses Summary'!$E51="","",IF('Cash Flow %s Yr2'!E95="","",'Cash Flow %s Yr2'!E95*'Expenses Summary'!$E51))</f>
        <v>830</v>
      </c>
      <c r="F95" s="64">
        <f>IF('Expenses Summary'!$E51="","",IF('Cash Flow %s Yr2'!F95="","",'Cash Flow %s Yr2'!F95*'Expenses Summary'!$E51))</f>
        <v>830</v>
      </c>
      <c r="G95" s="64">
        <f>IF('Expenses Summary'!$E51="","",IF('Cash Flow %s Yr2'!G95="","",'Cash Flow %s Yr2'!G95*'Expenses Summary'!$E51))</f>
        <v>830</v>
      </c>
      <c r="H95" s="64">
        <f>IF('Expenses Summary'!$E51="","",IF('Cash Flow %s Yr2'!H95="","",'Cash Flow %s Yr2'!H95*'Expenses Summary'!$E51))</f>
        <v>830</v>
      </c>
      <c r="I95" s="64">
        <f>IF('Expenses Summary'!$E51="","",IF('Cash Flow %s Yr2'!I95="","",'Cash Flow %s Yr2'!I95*'Expenses Summary'!$E51))</f>
        <v>830</v>
      </c>
      <c r="J95" s="64">
        <f>IF('Expenses Summary'!$E51="","",IF('Cash Flow %s Yr2'!J95="","",'Cash Flow %s Yr2'!J95*'Expenses Summary'!$E51))</f>
        <v>830</v>
      </c>
      <c r="K95" s="64">
        <f>IF('Expenses Summary'!$E51="","",IF('Cash Flow %s Yr2'!K95="","",'Cash Flow %s Yr2'!K95*'Expenses Summary'!$E51))</f>
        <v>830</v>
      </c>
      <c r="L95" s="64">
        <f>IF('Expenses Summary'!$E51="","",IF('Cash Flow %s Yr2'!L95="","",'Cash Flow %s Yr2'!L95*'Expenses Summary'!$E51))</f>
        <v>840</v>
      </c>
      <c r="M95" s="64">
        <f>IF('Expenses Summary'!$E51="","",IF('Cash Flow %s Yr2'!M95="","",'Cash Flow %s Yr2'!M95*'Expenses Summary'!$E51))</f>
        <v>840</v>
      </c>
      <c r="N95" s="64">
        <f>IF('Expenses Summary'!$E51="","",IF('Cash Flow %s Yr2'!N95="","",'Cash Flow %s Yr2'!N95*'Expenses Summary'!$E51))</f>
        <v>840</v>
      </c>
      <c r="O95" s="64">
        <f>IF('Expenses Summary'!$E51="","",IF('Cash Flow %s Yr2'!O95="","",'Cash Flow %s Yr2'!O95*'Expenses Summary'!$E51))</f>
        <v>840</v>
      </c>
      <c r="P95" s="129"/>
      <c r="Q95" s="129"/>
      <c r="R95" s="129"/>
      <c r="S95" s="111">
        <f>IF(SUM(D95:R95)&gt;0,SUM(D95:R95)/'Expenses Summary'!$E51,"")</f>
        <v>1</v>
      </c>
    </row>
    <row r="96" spans="1:19" x14ac:dyDescent="0.2">
      <c r="A96" s="36"/>
      <c r="B96" s="139" t="str">
        <f>'Expenses Summary'!B52</f>
        <v>4430</v>
      </c>
      <c r="C96" s="139" t="str">
        <f>'Expenses Summary'!C52</f>
        <v>General Student Equipment</v>
      </c>
      <c r="D96" s="64">
        <f>IF('Expenses Summary'!$E52="","",IF('Cash Flow %s Yr2'!D96="","",'Cash Flow %s Yr2'!D96*'Expenses Summary'!$E52))</f>
        <v>0</v>
      </c>
      <c r="E96" s="64">
        <f>IF('Expenses Summary'!$E52="","",IF('Cash Flow %s Yr2'!E96="","",'Cash Flow %s Yr2'!E96*'Expenses Summary'!$E52))</f>
        <v>0</v>
      </c>
      <c r="F96" s="64">
        <f>IF('Expenses Summary'!$E52="","",IF('Cash Flow %s Yr2'!F96="","",'Cash Flow %s Yr2'!F96*'Expenses Summary'!$E52))</f>
        <v>2449.9187999999999</v>
      </c>
      <c r="G96" s="64">
        <f>IF('Expenses Summary'!$E52="","",IF('Cash Flow %s Yr2'!G96="","",'Cash Flow %s Yr2'!G96*'Expenses Summary'!$E52))</f>
        <v>0</v>
      </c>
      <c r="H96" s="64">
        <f>IF('Expenses Summary'!$E52="","",IF('Cash Flow %s Yr2'!H96="","",'Cash Flow %s Yr2'!H96*'Expenses Summary'!$E52))</f>
        <v>0</v>
      </c>
      <c r="I96" s="64">
        <f>IF('Expenses Summary'!$E52="","",IF('Cash Flow %s Yr2'!I96="","",'Cash Flow %s Yr2'!I96*'Expenses Summary'!$E52))</f>
        <v>0</v>
      </c>
      <c r="J96" s="64">
        <f>IF('Expenses Summary'!$E52="","",IF('Cash Flow %s Yr2'!J96="","",'Cash Flow %s Yr2'!J96*'Expenses Summary'!$E52))</f>
        <v>1633.2791999999999</v>
      </c>
      <c r="K96" s="64">
        <f>IF('Expenses Summary'!$E52="","",IF('Cash Flow %s Yr2'!K96="","",'Cash Flow %s Yr2'!K96*'Expenses Summary'!$E52))</f>
        <v>0</v>
      </c>
      <c r="L96" s="64">
        <f>IF('Expenses Summary'!$E52="","",IF('Cash Flow %s Yr2'!L96="","",'Cash Flow %s Yr2'!L96*'Expenses Summary'!$E52))</f>
        <v>0</v>
      </c>
      <c r="M96" s="64">
        <f>IF('Expenses Summary'!$E52="","",IF('Cash Flow %s Yr2'!M96="","",'Cash Flow %s Yr2'!M96*'Expenses Summary'!$E52))</f>
        <v>0</v>
      </c>
      <c r="N96" s="64">
        <f>IF('Expenses Summary'!$E52="","",IF('Cash Flow %s Yr2'!N96="","",'Cash Flow %s Yr2'!N96*'Expenses Summary'!$E52))</f>
        <v>0</v>
      </c>
      <c r="O96" s="64">
        <f>IF('Expenses Summary'!$E52="","",IF('Cash Flow %s Yr2'!O96="","",'Cash Flow %s Yr2'!O96*'Expenses Summary'!$E52))</f>
        <v>0</v>
      </c>
      <c r="P96" s="129"/>
      <c r="Q96" s="129"/>
      <c r="R96" s="129"/>
      <c r="S96" s="111">
        <f>IF(SUM(D96:R96)&gt;0,SUM(D96:R96)/'Expenses Summary'!$E52,"")</f>
        <v>1</v>
      </c>
    </row>
    <row r="97" spans="1:19" hidden="1" outlineLevel="1" x14ac:dyDescent="0.2">
      <c r="A97" s="36"/>
      <c r="B97" s="139">
        <f>'Expenses Summary'!B53</f>
        <v>0</v>
      </c>
      <c r="C97" s="139">
        <f>'Expenses Summary'!C53</f>
        <v>0</v>
      </c>
      <c r="D97" s="64" t="str">
        <f>IF('Expenses Summary'!$E53="","",IF('Cash Flow %s Yr2'!D97="","",'Cash Flow %s Yr2'!D97*'Expenses Summary'!$E53))</f>
        <v/>
      </c>
      <c r="E97" s="64" t="str">
        <f>IF('Expenses Summary'!$E53="","",IF('Cash Flow %s Yr2'!E97="","",'Cash Flow %s Yr2'!E97*'Expenses Summary'!$E53))</f>
        <v/>
      </c>
      <c r="F97" s="64" t="str">
        <f>IF('Expenses Summary'!$E53="","",IF('Cash Flow %s Yr2'!F97="","",'Cash Flow %s Yr2'!F97*'Expenses Summary'!$E53))</f>
        <v/>
      </c>
      <c r="G97" s="64" t="str">
        <f>IF('Expenses Summary'!$E53="","",IF('Cash Flow %s Yr2'!G97="","",'Cash Flow %s Yr2'!G97*'Expenses Summary'!$E53))</f>
        <v/>
      </c>
      <c r="H97" s="64" t="str">
        <f>IF('Expenses Summary'!$E53="","",IF('Cash Flow %s Yr2'!H97="","",'Cash Flow %s Yr2'!H97*'Expenses Summary'!$E53))</f>
        <v/>
      </c>
      <c r="I97" s="64" t="str">
        <f>IF('Expenses Summary'!$E53="","",IF('Cash Flow %s Yr2'!I97="","",'Cash Flow %s Yr2'!I97*'Expenses Summary'!$E53))</f>
        <v/>
      </c>
      <c r="J97" s="64" t="str">
        <f>IF('Expenses Summary'!$E53="","",IF('Cash Flow %s Yr2'!J97="","",'Cash Flow %s Yr2'!J97*'Expenses Summary'!$E53))</f>
        <v/>
      </c>
      <c r="K97" s="64" t="str">
        <f>IF('Expenses Summary'!$E53="","",IF('Cash Flow %s Yr2'!K97="","",'Cash Flow %s Yr2'!K97*'Expenses Summary'!$E53))</f>
        <v/>
      </c>
      <c r="L97" s="64" t="str">
        <f>IF('Expenses Summary'!$E53="","",IF('Cash Flow %s Yr2'!L97="","",'Cash Flow %s Yr2'!L97*'Expenses Summary'!$E53))</f>
        <v/>
      </c>
      <c r="M97" s="64" t="str">
        <f>IF('Expenses Summary'!$E53="","",IF('Cash Flow %s Yr2'!M97="","",'Cash Flow %s Yr2'!M97*'Expenses Summary'!$E53))</f>
        <v/>
      </c>
      <c r="N97" s="64" t="str">
        <f>IF('Expenses Summary'!$E53="","",IF('Cash Flow %s Yr2'!N97="","",'Cash Flow %s Yr2'!N97*'Expenses Summary'!$E53))</f>
        <v/>
      </c>
      <c r="O97" s="64" t="str">
        <f>IF('Expenses Summary'!$E53="","",IF('Cash Flow %s Yr2'!O97="","",'Cash Flow %s Yr2'!O97*'Expenses Summary'!$E53))</f>
        <v/>
      </c>
      <c r="P97" s="129"/>
      <c r="Q97" s="129"/>
      <c r="R97" s="129"/>
      <c r="S97" s="111"/>
    </row>
    <row r="98" spans="1:19" hidden="1" outlineLevel="1" x14ac:dyDescent="0.2">
      <c r="A98" s="36"/>
      <c r="B98" s="139">
        <f>'Expenses Summary'!B54</f>
        <v>0</v>
      </c>
      <c r="C98" s="139">
        <f>'Expenses Summary'!C54</f>
        <v>0</v>
      </c>
      <c r="D98" s="64" t="str">
        <f>IF('Expenses Summary'!$E54="","",IF('Cash Flow %s Yr2'!D98="","",'Cash Flow %s Yr2'!D98*'Expenses Summary'!$E54))</f>
        <v/>
      </c>
      <c r="E98" s="64" t="str">
        <f>IF('Expenses Summary'!$E54="","",IF('Cash Flow %s Yr2'!E98="","",'Cash Flow %s Yr2'!E98*'Expenses Summary'!$E54))</f>
        <v/>
      </c>
      <c r="F98" s="64" t="str">
        <f>IF('Expenses Summary'!$E54="","",IF('Cash Flow %s Yr2'!F98="","",'Cash Flow %s Yr2'!F98*'Expenses Summary'!$E54))</f>
        <v/>
      </c>
      <c r="G98" s="64" t="str">
        <f>IF('Expenses Summary'!$E54="","",IF('Cash Flow %s Yr2'!G98="","",'Cash Flow %s Yr2'!G98*'Expenses Summary'!$E54))</f>
        <v/>
      </c>
      <c r="H98" s="64" t="str">
        <f>IF('Expenses Summary'!$E54="","",IF('Cash Flow %s Yr2'!H98="","",'Cash Flow %s Yr2'!H98*'Expenses Summary'!$E54))</f>
        <v/>
      </c>
      <c r="I98" s="64" t="str">
        <f>IF('Expenses Summary'!$E54="","",IF('Cash Flow %s Yr2'!I98="","",'Cash Flow %s Yr2'!I98*'Expenses Summary'!$E54))</f>
        <v/>
      </c>
      <c r="J98" s="64" t="str">
        <f>IF('Expenses Summary'!$E54="","",IF('Cash Flow %s Yr2'!J98="","",'Cash Flow %s Yr2'!J98*'Expenses Summary'!$E54))</f>
        <v/>
      </c>
      <c r="K98" s="64" t="str">
        <f>IF('Expenses Summary'!$E54="","",IF('Cash Flow %s Yr2'!K98="","",'Cash Flow %s Yr2'!K98*'Expenses Summary'!$E54))</f>
        <v/>
      </c>
      <c r="L98" s="64" t="str">
        <f>IF('Expenses Summary'!$E54="","",IF('Cash Flow %s Yr2'!L98="","",'Cash Flow %s Yr2'!L98*'Expenses Summary'!$E54))</f>
        <v/>
      </c>
      <c r="M98" s="64" t="str">
        <f>IF('Expenses Summary'!$E54="","",IF('Cash Flow %s Yr2'!M98="","",'Cash Flow %s Yr2'!M98*'Expenses Summary'!$E54))</f>
        <v/>
      </c>
      <c r="N98" s="64" t="str">
        <f>IF('Expenses Summary'!$E54="","",IF('Cash Flow %s Yr2'!N98="","",'Cash Flow %s Yr2'!N98*'Expenses Summary'!$E54))</f>
        <v/>
      </c>
      <c r="O98" s="64" t="str">
        <f>IF('Expenses Summary'!$E54="","",IF('Cash Flow %s Yr2'!O98="","",'Cash Flow %s Yr2'!O98*'Expenses Summary'!$E54))</f>
        <v/>
      </c>
      <c r="P98" s="129"/>
      <c r="Q98" s="129"/>
      <c r="R98" s="129"/>
      <c r="S98" s="111"/>
    </row>
    <row r="99" spans="1:19" hidden="1" outlineLevel="1" x14ac:dyDescent="0.2">
      <c r="A99" s="36"/>
      <c r="B99" s="139">
        <f>'Expenses Summary'!B55</f>
        <v>0</v>
      </c>
      <c r="C99" s="139">
        <f>'Expenses Summary'!C55</f>
        <v>0</v>
      </c>
      <c r="D99" s="64" t="str">
        <f>IF('Expenses Summary'!$E55="","",IF('Cash Flow %s Yr2'!D99="","",'Cash Flow %s Yr2'!D99*'Expenses Summary'!$E55))</f>
        <v/>
      </c>
      <c r="E99" s="64" t="str">
        <f>IF('Expenses Summary'!$E55="","",IF('Cash Flow %s Yr2'!E99="","",'Cash Flow %s Yr2'!E99*'Expenses Summary'!$E55))</f>
        <v/>
      </c>
      <c r="F99" s="64" t="str">
        <f>IF('Expenses Summary'!$E55="","",IF('Cash Flow %s Yr2'!F99="","",'Cash Flow %s Yr2'!F99*'Expenses Summary'!$E55))</f>
        <v/>
      </c>
      <c r="G99" s="64" t="str">
        <f>IF('Expenses Summary'!$E55="","",IF('Cash Flow %s Yr2'!G99="","",'Cash Flow %s Yr2'!G99*'Expenses Summary'!$E55))</f>
        <v/>
      </c>
      <c r="H99" s="64" t="str">
        <f>IF('Expenses Summary'!$E55="","",IF('Cash Flow %s Yr2'!H99="","",'Cash Flow %s Yr2'!H99*'Expenses Summary'!$E55))</f>
        <v/>
      </c>
      <c r="I99" s="64" t="str">
        <f>IF('Expenses Summary'!$E55="","",IF('Cash Flow %s Yr2'!I99="","",'Cash Flow %s Yr2'!I99*'Expenses Summary'!$E55))</f>
        <v/>
      </c>
      <c r="J99" s="64" t="str">
        <f>IF('Expenses Summary'!$E55="","",IF('Cash Flow %s Yr2'!J99="","",'Cash Flow %s Yr2'!J99*'Expenses Summary'!$E55))</f>
        <v/>
      </c>
      <c r="K99" s="64" t="str">
        <f>IF('Expenses Summary'!$E55="","",IF('Cash Flow %s Yr2'!K99="","",'Cash Flow %s Yr2'!K99*'Expenses Summary'!$E55))</f>
        <v/>
      </c>
      <c r="L99" s="64" t="str">
        <f>IF('Expenses Summary'!$E55="","",IF('Cash Flow %s Yr2'!L99="","",'Cash Flow %s Yr2'!L99*'Expenses Summary'!$E55))</f>
        <v/>
      </c>
      <c r="M99" s="64" t="str">
        <f>IF('Expenses Summary'!$E55="","",IF('Cash Flow %s Yr2'!M99="","",'Cash Flow %s Yr2'!M99*'Expenses Summary'!$E55))</f>
        <v/>
      </c>
      <c r="N99" s="64" t="str">
        <f>IF('Expenses Summary'!$E55="","",IF('Cash Flow %s Yr2'!N99="","",'Cash Flow %s Yr2'!N99*'Expenses Summary'!$E55))</f>
        <v/>
      </c>
      <c r="O99" s="64" t="str">
        <f>IF('Expenses Summary'!$E55="","",IF('Cash Flow %s Yr2'!O99="","",'Cash Flow %s Yr2'!O99*'Expenses Summary'!$E55))</f>
        <v/>
      </c>
      <c r="P99" s="129"/>
      <c r="Q99" s="129"/>
      <c r="R99" s="129"/>
      <c r="S99" s="111"/>
    </row>
    <row r="100" spans="1:19" hidden="1" outlineLevel="1" x14ac:dyDescent="0.2">
      <c r="A100" s="36"/>
      <c r="B100" s="139">
        <f>'Expenses Summary'!B56</f>
        <v>0</v>
      </c>
      <c r="C100" s="139">
        <f>'Expenses Summary'!C56</f>
        <v>0</v>
      </c>
      <c r="D100" s="64" t="str">
        <f>IF('Expenses Summary'!$E56="","",IF('Cash Flow %s Yr2'!D100="","",'Cash Flow %s Yr2'!D100*'Expenses Summary'!$E56))</f>
        <v/>
      </c>
      <c r="E100" s="64" t="str">
        <f>IF('Expenses Summary'!$E56="","",IF('Cash Flow %s Yr2'!E100="","",'Cash Flow %s Yr2'!E100*'Expenses Summary'!$E56))</f>
        <v/>
      </c>
      <c r="F100" s="64" t="str">
        <f>IF('Expenses Summary'!$E56="","",IF('Cash Flow %s Yr2'!F100="","",'Cash Flow %s Yr2'!F100*'Expenses Summary'!$E56))</f>
        <v/>
      </c>
      <c r="G100" s="64" t="str">
        <f>IF('Expenses Summary'!$E56="","",IF('Cash Flow %s Yr2'!G100="","",'Cash Flow %s Yr2'!G100*'Expenses Summary'!$E56))</f>
        <v/>
      </c>
      <c r="H100" s="64" t="str">
        <f>IF('Expenses Summary'!$E56="","",IF('Cash Flow %s Yr2'!H100="","",'Cash Flow %s Yr2'!H100*'Expenses Summary'!$E56))</f>
        <v/>
      </c>
      <c r="I100" s="64" t="str">
        <f>IF('Expenses Summary'!$E56="","",IF('Cash Flow %s Yr2'!I100="","",'Cash Flow %s Yr2'!I100*'Expenses Summary'!$E56))</f>
        <v/>
      </c>
      <c r="J100" s="64" t="str">
        <f>IF('Expenses Summary'!$E56="","",IF('Cash Flow %s Yr2'!J100="","",'Cash Flow %s Yr2'!J100*'Expenses Summary'!$E56))</f>
        <v/>
      </c>
      <c r="K100" s="64" t="str">
        <f>IF('Expenses Summary'!$E56="","",IF('Cash Flow %s Yr2'!K100="","",'Cash Flow %s Yr2'!K100*'Expenses Summary'!$E56))</f>
        <v/>
      </c>
      <c r="L100" s="64" t="str">
        <f>IF('Expenses Summary'!$E56="","",IF('Cash Flow %s Yr2'!L100="","",'Cash Flow %s Yr2'!L100*'Expenses Summary'!$E56))</f>
        <v/>
      </c>
      <c r="M100" s="64" t="str">
        <f>IF('Expenses Summary'!$E56="","",IF('Cash Flow %s Yr2'!M100="","",'Cash Flow %s Yr2'!M100*'Expenses Summary'!$E56))</f>
        <v/>
      </c>
      <c r="N100" s="64" t="str">
        <f>IF('Expenses Summary'!$E56="","",IF('Cash Flow %s Yr2'!N100="","",'Cash Flow %s Yr2'!N100*'Expenses Summary'!$E56))</f>
        <v/>
      </c>
      <c r="O100" s="64" t="str">
        <f>IF('Expenses Summary'!$E56="","",IF('Cash Flow %s Yr2'!O100="","",'Cash Flow %s Yr2'!O100*'Expenses Summary'!$E56))</f>
        <v/>
      </c>
      <c r="P100" s="129"/>
      <c r="Q100" s="129"/>
      <c r="R100" s="129"/>
      <c r="S100" s="111"/>
    </row>
    <row r="101" spans="1:19" hidden="1" outlineLevel="1" x14ac:dyDescent="0.2">
      <c r="A101" s="36"/>
      <c r="B101" s="139">
        <f>'Expenses Summary'!B57</f>
        <v>0</v>
      </c>
      <c r="C101" s="139">
        <f>'Expenses Summary'!C57</f>
        <v>0</v>
      </c>
      <c r="D101" s="64" t="str">
        <f>IF('Expenses Summary'!$E57="","",IF('Cash Flow %s Yr2'!D101="","",'Cash Flow %s Yr2'!D101*'Expenses Summary'!$E57))</f>
        <v/>
      </c>
      <c r="E101" s="64" t="str">
        <f>IF('Expenses Summary'!$E57="","",IF('Cash Flow %s Yr2'!E101="","",'Cash Flow %s Yr2'!E101*'Expenses Summary'!$E57))</f>
        <v/>
      </c>
      <c r="F101" s="64" t="str">
        <f>IF('Expenses Summary'!$E57="","",IF('Cash Flow %s Yr2'!F101="","",'Cash Flow %s Yr2'!F101*'Expenses Summary'!$E57))</f>
        <v/>
      </c>
      <c r="G101" s="64" t="str">
        <f>IF('Expenses Summary'!$E57="","",IF('Cash Flow %s Yr2'!G101="","",'Cash Flow %s Yr2'!G101*'Expenses Summary'!$E57))</f>
        <v/>
      </c>
      <c r="H101" s="64" t="str">
        <f>IF('Expenses Summary'!$E57="","",IF('Cash Flow %s Yr2'!H101="","",'Cash Flow %s Yr2'!H101*'Expenses Summary'!$E57))</f>
        <v/>
      </c>
      <c r="I101" s="64" t="str">
        <f>IF('Expenses Summary'!$E57="","",IF('Cash Flow %s Yr2'!I101="","",'Cash Flow %s Yr2'!I101*'Expenses Summary'!$E57))</f>
        <v/>
      </c>
      <c r="J101" s="64" t="str">
        <f>IF('Expenses Summary'!$E57="","",IF('Cash Flow %s Yr2'!J101="","",'Cash Flow %s Yr2'!J101*'Expenses Summary'!$E57))</f>
        <v/>
      </c>
      <c r="K101" s="64" t="str">
        <f>IF('Expenses Summary'!$E57="","",IF('Cash Flow %s Yr2'!K101="","",'Cash Flow %s Yr2'!K101*'Expenses Summary'!$E57))</f>
        <v/>
      </c>
      <c r="L101" s="64" t="str">
        <f>IF('Expenses Summary'!$E57="","",IF('Cash Flow %s Yr2'!L101="","",'Cash Flow %s Yr2'!L101*'Expenses Summary'!$E57))</f>
        <v/>
      </c>
      <c r="M101" s="64" t="str">
        <f>IF('Expenses Summary'!$E57="","",IF('Cash Flow %s Yr2'!M101="","",'Cash Flow %s Yr2'!M101*'Expenses Summary'!$E57))</f>
        <v/>
      </c>
      <c r="N101" s="64" t="str">
        <f>IF('Expenses Summary'!$E57="","",IF('Cash Flow %s Yr2'!N101="","",'Cash Flow %s Yr2'!N101*'Expenses Summary'!$E57))</f>
        <v/>
      </c>
      <c r="O101" s="64" t="str">
        <f>IF('Expenses Summary'!$E57="","",IF('Cash Flow %s Yr2'!O101="","",'Cash Flow %s Yr2'!O101*'Expenses Summary'!$E57))</f>
        <v/>
      </c>
      <c r="P101" s="129"/>
      <c r="Q101" s="129"/>
      <c r="R101" s="129"/>
      <c r="S101" s="111"/>
    </row>
    <row r="102" spans="1:19" hidden="1" outlineLevel="1" x14ac:dyDescent="0.2">
      <c r="A102" s="36"/>
      <c r="B102" s="139">
        <f>'Expenses Summary'!B58</f>
        <v>0</v>
      </c>
      <c r="C102" s="139">
        <f>'Expenses Summary'!C58</f>
        <v>0</v>
      </c>
      <c r="D102" s="64" t="str">
        <f>IF('Expenses Summary'!$E58="","",IF('Cash Flow %s Yr2'!D102="","",'Cash Flow %s Yr2'!D102*'Expenses Summary'!$E58))</f>
        <v/>
      </c>
      <c r="E102" s="64" t="str">
        <f>IF('Expenses Summary'!$E58="","",IF('Cash Flow %s Yr2'!E102="","",'Cash Flow %s Yr2'!E102*'Expenses Summary'!$E58))</f>
        <v/>
      </c>
      <c r="F102" s="64" t="str">
        <f>IF('Expenses Summary'!$E58="","",IF('Cash Flow %s Yr2'!F102="","",'Cash Flow %s Yr2'!F102*'Expenses Summary'!$E58))</f>
        <v/>
      </c>
      <c r="G102" s="64" t="str">
        <f>IF('Expenses Summary'!$E58="","",IF('Cash Flow %s Yr2'!G102="","",'Cash Flow %s Yr2'!G102*'Expenses Summary'!$E58))</f>
        <v/>
      </c>
      <c r="H102" s="64" t="str">
        <f>IF('Expenses Summary'!$E58="","",IF('Cash Flow %s Yr2'!H102="","",'Cash Flow %s Yr2'!H102*'Expenses Summary'!$E58))</f>
        <v/>
      </c>
      <c r="I102" s="64" t="str">
        <f>IF('Expenses Summary'!$E58="","",IF('Cash Flow %s Yr2'!I102="","",'Cash Flow %s Yr2'!I102*'Expenses Summary'!$E58))</f>
        <v/>
      </c>
      <c r="J102" s="64" t="str">
        <f>IF('Expenses Summary'!$E58="","",IF('Cash Flow %s Yr2'!J102="","",'Cash Flow %s Yr2'!J102*'Expenses Summary'!$E58))</f>
        <v/>
      </c>
      <c r="K102" s="64" t="str">
        <f>IF('Expenses Summary'!$E58="","",IF('Cash Flow %s Yr2'!K102="","",'Cash Flow %s Yr2'!K102*'Expenses Summary'!$E58))</f>
        <v/>
      </c>
      <c r="L102" s="64" t="str">
        <f>IF('Expenses Summary'!$E58="","",IF('Cash Flow %s Yr2'!L102="","",'Cash Flow %s Yr2'!L102*'Expenses Summary'!$E58))</f>
        <v/>
      </c>
      <c r="M102" s="64" t="str">
        <f>IF('Expenses Summary'!$E58="","",IF('Cash Flow %s Yr2'!M102="","",'Cash Flow %s Yr2'!M102*'Expenses Summary'!$E58))</f>
        <v/>
      </c>
      <c r="N102" s="64" t="str">
        <f>IF('Expenses Summary'!$E58="","",IF('Cash Flow %s Yr2'!N102="","",'Cash Flow %s Yr2'!N102*'Expenses Summary'!$E58))</f>
        <v/>
      </c>
      <c r="O102" s="64" t="str">
        <f>IF('Expenses Summary'!$E58="","",IF('Cash Flow %s Yr2'!O102="","",'Cash Flow %s Yr2'!O102*'Expenses Summary'!$E58))</f>
        <v/>
      </c>
      <c r="P102" s="129"/>
      <c r="Q102" s="129"/>
      <c r="R102" s="129"/>
      <c r="S102" s="111"/>
    </row>
    <row r="103" spans="1:19" hidden="1" outlineLevel="1" x14ac:dyDescent="0.2">
      <c r="A103" s="36"/>
      <c r="B103" s="139">
        <f>'Expenses Summary'!B59</f>
        <v>0</v>
      </c>
      <c r="C103" s="139">
        <f>'Expenses Summary'!C59</f>
        <v>0</v>
      </c>
      <c r="D103" s="64" t="str">
        <f>IF('Expenses Summary'!$E59="","",IF('Cash Flow %s Yr2'!D103="","",'Cash Flow %s Yr2'!D103*'Expenses Summary'!$E59))</f>
        <v/>
      </c>
      <c r="E103" s="64" t="str">
        <f>IF('Expenses Summary'!$E59="","",IF('Cash Flow %s Yr2'!E103="","",'Cash Flow %s Yr2'!E103*'Expenses Summary'!$E59))</f>
        <v/>
      </c>
      <c r="F103" s="64" t="str">
        <f>IF('Expenses Summary'!$E59="","",IF('Cash Flow %s Yr2'!F103="","",'Cash Flow %s Yr2'!F103*'Expenses Summary'!$E59))</f>
        <v/>
      </c>
      <c r="G103" s="64" t="str">
        <f>IF('Expenses Summary'!$E59="","",IF('Cash Flow %s Yr2'!G103="","",'Cash Flow %s Yr2'!G103*'Expenses Summary'!$E59))</f>
        <v/>
      </c>
      <c r="H103" s="64" t="str">
        <f>IF('Expenses Summary'!$E59="","",IF('Cash Flow %s Yr2'!H103="","",'Cash Flow %s Yr2'!H103*'Expenses Summary'!$E59))</f>
        <v/>
      </c>
      <c r="I103" s="64" t="str">
        <f>IF('Expenses Summary'!$E59="","",IF('Cash Flow %s Yr2'!I103="","",'Cash Flow %s Yr2'!I103*'Expenses Summary'!$E59))</f>
        <v/>
      </c>
      <c r="J103" s="64" t="str">
        <f>IF('Expenses Summary'!$E59="","",IF('Cash Flow %s Yr2'!J103="","",'Cash Flow %s Yr2'!J103*'Expenses Summary'!$E59))</f>
        <v/>
      </c>
      <c r="K103" s="64" t="str">
        <f>IF('Expenses Summary'!$E59="","",IF('Cash Flow %s Yr2'!K103="","",'Cash Flow %s Yr2'!K103*'Expenses Summary'!$E59))</f>
        <v/>
      </c>
      <c r="L103" s="64" t="str">
        <f>IF('Expenses Summary'!$E59="","",IF('Cash Flow %s Yr2'!L103="","",'Cash Flow %s Yr2'!L103*'Expenses Summary'!$E59))</f>
        <v/>
      </c>
      <c r="M103" s="64" t="str">
        <f>IF('Expenses Summary'!$E59="","",IF('Cash Flow %s Yr2'!M103="","",'Cash Flow %s Yr2'!M103*'Expenses Summary'!$E59))</f>
        <v/>
      </c>
      <c r="N103" s="64" t="str">
        <f>IF('Expenses Summary'!$E59="","",IF('Cash Flow %s Yr2'!N103="","",'Cash Flow %s Yr2'!N103*'Expenses Summary'!$E59))</f>
        <v/>
      </c>
      <c r="O103" s="64" t="str">
        <f>IF('Expenses Summary'!$E59="","",IF('Cash Flow %s Yr2'!O103="","",'Cash Flow %s Yr2'!O103*'Expenses Summary'!$E59))</f>
        <v/>
      </c>
      <c r="P103" s="129"/>
      <c r="Q103" s="129"/>
      <c r="R103" s="129"/>
      <c r="S103" s="111"/>
    </row>
    <row r="104" spans="1:19" hidden="1" outlineLevel="1" x14ac:dyDescent="0.2">
      <c r="A104" s="36"/>
      <c r="B104" s="139">
        <f>'Expenses Summary'!B60</f>
        <v>0</v>
      </c>
      <c r="C104" s="139">
        <f>'Expenses Summary'!C60</f>
        <v>0</v>
      </c>
      <c r="D104" s="64" t="str">
        <f>IF('Expenses Summary'!$E60="","",IF('Cash Flow %s Yr2'!D104="","",'Cash Flow %s Yr2'!D104*'Expenses Summary'!$E60))</f>
        <v/>
      </c>
      <c r="E104" s="64" t="str">
        <f>IF('Expenses Summary'!$E60="","",IF('Cash Flow %s Yr2'!E104="","",'Cash Flow %s Yr2'!E104*'Expenses Summary'!$E60))</f>
        <v/>
      </c>
      <c r="F104" s="64" t="str">
        <f>IF('Expenses Summary'!$E60="","",IF('Cash Flow %s Yr2'!F104="","",'Cash Flow %s Yr2'!F104*'Expenses Summary'!$E60))</f>
        <v/>
      </c>
      <c r="G104" s="64" t="str">
        <f>IF('Expenses Summary'!$E60="","",IF('Cash Flow %s Yr2'!G104="","",'Cash Flow %s Yr2'!G104*'Expenses Summary'!$E60))</f>
        <v/>
      </c>
      <c r="H104" s="64" t="str">
        <f>IF('Expenses Summary'!$E60="","",IF('Cash Flow %s Yr2'!H104="","",'Cash Flow %s Yr2'!H104*'Expenses Summary'!$E60))</f>
        <v/>
      </c>
      <c r="I104" s="64" t="str">
        <f>IF('Expenses Summary'!$E60="","",IF('Cash Flow %s Yr2'!I104="","",'Cash Flow %s Yr2'!I104*'Expenses Summary'!$E60))</f>
        <v/>
      </c>
      <c r="J104" s="64" t="str">
        <f>IF('Expenses Summary'!$E60="","",IF('Cash Flow %s Yr2'!J104="","",'Cash Flow %s Yr2'!J104*'Expenses Summary'!$E60))</f>
        <v/>
      </c>
      <c r="K104" s="64" t="str">
        <f>IF('Expenses Summary'!$E60="","",IF('Cash Flow %s Yr2'!K104="","",'Cash Flow %s Yr2'!K104*'Expenses Summary'!$E60))</f>
        <v/>
      </c>
      <c r="L104" s="64" t="str">
        <f>IF('Expenses Summary'!$E60="","",IF('Cash Flow %s Yr2'!L104="","",'Cash Flow %s Yr2'!L104*'Expenses Summary'!$E60))</f>
        <v/>
      </c>
      <c r="M104" s="64" t="str">
        <f>IF('Expenses Summary'!$E60="","",IF('Cash Flow %s Yr2'!M104="","",'Cash Flow %s Yr2'!M104*'Expenses Summary'!$E60))</f>
        <v/>
      </c>
      <c r="N104" s="64" t="str">
        <f>IF('Expenses Summary'!$E60="","",IF('Cash Flow %s Yr2'!N104="","",'Cash Flow %s Yr2'!N104*'Expenses Summary'!$E60))</f>
        <v/>
      </c>
      <c r="O104" s="64" t="str">
        <f>IF('Expenses Summary'!$E60="","",IF('Cash Flow %s Yr2'!O104="","",'Cash Flow %s Yr2'!O104*'Expenses Summary'!$E60))</f>
        <v/>
      </c>
      <c r="P104" s="129"/>
      <c r="Q104" s="129"/>
      <c r="R104" s="129"/>
      <c r="S104" s="111"/>
    </row>
    <row r="105" spans="1:19" hidden="1" outlineLevel="1" x14ac:dyDescent="0.2">
      <c r="A105" s="36"/>
      <c r="B105" s="139">
        <f>'Expenses Summary'!B61</f>
        <v>0</v>
      </c>
      <c r="C105" s="139">
        <f>'Expenses Summary'!C61</f>
        <v>0</v>
      </c>
      <c r="D105" s="64" t="str">
        <f>IF('Expenses Summary'!$E61="","",IF('Cash Flow %s Yr2'!D105="","",'Cash Flow %s Yr2'!D105*'Expenses Summary'!$E61))</f>
        <v/>
      </c>
      <c r="E105" s="64" t="str">
        <f>IF('Expenses Summary'!$E61="","",IF('Cash Flow %s Yr2'!E105="","",'Cash Flow %s Yr2'!E105*'Expenses Summary'!$E61))</f>
        <v/>
      </c>
      <c r="F105" s="64" t="str">
        <f>IF('Expenses Summary'!$E61="","",IF('Cash Flow %s Yr2'!F105="","",'Cash Flow %s Yr2'!F105*'Expenses Summary'!$E61))</f>
        <v/>
      </c>
      <c r="G105" s="64" t="str">
        <f>IF('Expenses Summary'!$E61="","",IF('Cash Flow %s Yr2'!G105="","",'Cash Flow %s Yr2'!G105*'Expenses Summary'!$E61))</f>
        <v/>
      </c>
      <c r="H105" s="64" t="str">
        <f>IF('Expenses Summary'!$E61="","",IF('Cash Flow %s Yr2'!H105="","",'Cash Flow %s Yr2'!H105*'Expenses Summary'!$E61))</f>
        <v/>
      </c>
      <c r="I105" s="64" t="str">
        <f>IF('Expenses Summary'!$E61="","",IF('Cash Flow %s Yr2'!I105="","",'Cash Flow %s Yr2'!I105*'Expenses Summary'!$E61))</f>
        <v/>
      </c>
      <c r="J105" s="64" t="str">
        <f>IF('Expenses Summary'!$E61="","",IF('Cash Flow %s Yr2'!J105="","",'Cash Flow %s Yr2'!J105*'Expenses Summary'!$E61))</f>
        <v/>
      </c>
      <c r="K105" s="64" t="str">
        <f>IF('Expenses Summary'!$E61="","",IF('Cash Flow %s Yr2'!K105="","",'Cash Flow %s Yr2'!K105*'Expenses Summary'!$E61))</f>
        <v/>
      </c>
      <c r="L105" s="64" t="str">
        <f>IF('Expenses Summary'!$E61="","",IF('Cash Flow %s Yr2'!L105="","",'Cash Flow %s Yr2'!L105*'Expenses Summary'!$E61))</f>
        <v/>
      </c>
      <c r="M105" s="64" t="str">
        <f>IF('Expenses Summary'!$E61="","",IF('Cash Flow %s Yr2'!M105="","",'Cash Flow %s Yr2'!M105*'Expenses Summary'!$E61))</f>
        <v/>
      </c>
      <c r="N105" s="64" t="str">
        <f>IF('Expenses Summary'!$E61="","",IF('Cash Flow %s Yr2'!N105="","",'Cash Flow %s Yr2'!N105*'Expenses Summary'!$E61))</f>
        <v/>
      </c>
      <c r="O105" s="64" t="str">
        <f>IF('Expenses Summary'!$E61="","",IF('Cash Flow %s Yr2'!O105="","",'Cash Flow %s Yr2'!O105*'Expenses Summary'!$E61))</f>
        <v/>
      </c>
      <c r="P105" s="129"/>
      <c r="Q105" s="129"/>
      <c r="R105" s="129"/>
      <c r="S105" s="111"/>
    </row>
    <row r="106" spans="1:19" hidden="1" outlineLevel="1" x14ac:dyDescent="0.2">
      <c r="A106" s="36"/>
      <c r="B106" s="139">
        <f>'Expenses Summary'!B62</f>
        <v>0</v>
      </c>
      <c r="C106" s="139">
        <f>'Expenses Summary'!C62</f>
        <v>0</v>
      </c>
      <c r="D106" s="64" t="str">
        <f>IF('Expenses Summary'!$E62="","",IF('Cash Flow %s Yr2'!D106="","",'Cash Flow %s Yr2'!D106*'Expenses Summary'!$E62))</f>
        <v/>
      </c>
      <c r="E106" s="64" t="str">
        <f>IF('Expenses Summary'!$E62="","",IF('Cash Flow %s Yr2'!E106="","",'Cash Flow %s Yr2'!E106*'Expenses Summary'!$E62))</f>
        <v/>
      </c>
      <c r="F106" s="64" t="str">
        <f>IF('Expenses Summary'!$E62="","",IF('Cash Flow %s Yr2'!F106="","",'Cash Flow %s Yr2'!F106*'Expenses Summary'!$E62))</f>
        <v/>
      </c>
      <c r="G106" s="64" t="str">
        <f>IF('Expenses Summary'!$E62="","",IF('Cash Flow %s Yr2'!G106="","",'Cash Flow %s Yr2'!G106*'Expenses Summary'!$E62))</f>
        <v/>
      </c>
      <c r="H106" s="64" t="str">
        <f>IF('Expenses Summary'!$E62="","",IF('Cash Flow %s Yr2'!H106="","",'Cash Flow %s Yr2'!H106*'Expenses Summary'!$E62))</f>
        <v/>
      </c>
      <c r="I106" s="64" t="str">
        <f>IF('Expenses Summary'!$E62="","",IF('Cash Flow %s Yr2'!I106="","",'Cash Flow %s Yr2'!I106*'Expenses Summary'!$E62))</f>
        <v/>
      </c>
      <c r="J106" s="64" t="str">
        <f>IF('Expenses Summary'!$E62="","",IF('Cash Flow %s Yr2'!J106="","",'Cash Flow %s Yr2'!J106*'Expenses Summary'!$E62))</f>
        <v/>
      </c>
      <c r="K106" s="64" t="str">
        <f>IF('Expenses Summary'!$E62="","",IF('Cash Flow %s Yr2'!K106="","",'Cash Flow %s Yr2'!K106*'Expenses Summary'!$E62))</f>
        <v/>
      </c>
      <c r="L106" s="64" t="str">
        <f>IF('Expenses Summary'!$E62="","",IF('Cash Flow %s Yr2'!L106="","",'Cash Flow %s Yr2'!L106*'Expenses Summary'!$E62))</f>
        <v/>
      </c>
      <c r="M106" s="64" t="str">
        <f>IF('Expenses Summary'!$E62="","",IF('Cash Flow %s Yr2'!M106="","",'Cash Flow %s Yr2'!M106*'Expenses Summary'!$E62))</f>
        <v/>
      </c>
      <c r="N106" s="64" t="str">
        <f>IF('Expenses Summary'!$E62="","",IF('Cash Flow %s Yr2'!N106="","",'Cash Flow %s Yr2'!N106*'Expenses Summary'!$E62))</f>
        <v/>
      </c>
      <c r="O106" s="64" t="str">
        <f>IF('Expenses Summary'!$E62="","",IF('Cash Flow %s Yr2'!O106="","",'Cash Flow %s Yr2'!O106*'Expenses Summary'!$E62))</f>
        <v/>
      </c>
      <c r="P106" s="129"/>
      <c r="Q106" s="129"/>
      <c r="R106" s="129"/>
      <c r="S106" s="111"/>
    </row>
    <row r="107" spans="1:19" s="31" customFormat="1" collapsed="1" x14ac:dyDescent="0.2">
      <c r="A107" s="36"/>
      <c r="B107" s="139" t="str">
        <f>'Expenses Summary'!B63</f>
        <v>4700</v>
      </c>
      <c r="C107" s="139" t="str">
        <f>'Expenses Summary'!C63</f>
        <v>Food and Food Supplies</v>
      </c>
      <c r="D107" s="64">
        <f>IF('Expenses Summary'!$E63="","",IF('Cash Flow %s Yr2'!D107="","",'Cash Flow %s Yr2'!D107*'Expenses Summary'!$E63))</f>
        <v>0</v>
      </c>
      <c r="E107" s="64">
        <f>IF('Expenses Summary'!$E63="","",IF('Cash Flow %s Yr2'!E107="","",'Cash Flow %s Yr2'!E107*'Expenses Summary'!$E63))</f>
        <v>0</v>
      </c>
      <c r="F107" s="64">
        <f>IF('Expenses Summary'!$E63="","",IF('Cash Flow %s Yr2'!F107="","",'Cash Flow %s Yr2'!F107*'Expenses Summary'!$E63))</f>
        <v>25.979360000000003</v>
      </c>
      <c r="G107" s="64">
        <f>IF('Expenses Summary'!$E63="","",IF('Cash Flow %s Yr2'!G107="","",'Cash Flow %s Yr2'!G107*'Expenses Summary'!$E63))</f>
        <v>0</v>
      </c>
      <c r="H107" s="64">
        <f>IF('Expenses Summary'!$E63="","",IF('Cash Flow %s Yr2'!H107="","",'Cash Flow %s Yr2'!H107*'Expenses Summary'!$E63))</f>
        <v>47.235200000000006</v>
      </c>
      <c r="I107" s="64">
        <f>IF('Expenses Summary'!$E63="","",IF('Cash Flow %s Yr2'!I107="","",'Cash Flow %s Yr2'!I107*'Expenses Summary'!$E63))</f>
        <v>47.235200000000006</v>
      </c>
      <c r="J107" s="64">
        <f>IF('Expenses Summary'!$E63="","",IF('Cash Flow %s Yr2'!J107="","",'Cash Flow %s Yr2'!J107*'Expenses Summary'!$E63))</f>
        <v>47.235200000000006</v>
      </c>
      <c r="K107" s="64">
        <f>IF('Expenses Summary'!$E63="","",IF('Cash Flow %s Yr2'!K107="","",'Cash Flow %s Yr2'!K107*'Expenses Summary'!$E63))</f>
        <v>47.235200000000006</v>
      </c>
      <c r="L107" s="64">
        <f>IF('Expenses Summary'!$E63="","",IF('Cash Flow %s Yr2'!L107="","",'Cash Flow %s Yr2'!L107*'Expenses Summary'!$E63))</f>
        <v>47.235200000000006</v>
      </c>
      <c r="M107" s="64">
        <f>IF('Expenses Summary'!$E63="","",IF('Cash Flow %s Yr2'!M107="","",'Cash Flow %s Yr2'!M107*'Expenses Summary'!$E63))</f>
        <v>47.235200000000006</v>
      </c>
      <c r="N107" s="64">
        <f>IF('Expenses Summary'!$E63="","",IF('Cash Flow %s Yr2'!N107="","",'Cash Flow %s Yr2'!N107*'Expenses Summary'!$E63))</f>
        <v>47.235200000000006</v>
      </c>
      <c r="O107" s="64">
        <f>IF('Expenses Summary'!$E63="","",IF('Cash Flow %s Yr2'!O107="","",'Cash Flow %s Yr2'!O107*'Expenses Summary'!$E63))</f>
        <v>47.235200000000006</v>
      </c>
      <c r="P107" s="129"/>
      <c r="Q107" s="129"/>
      <c r="R107" s="129"/>
      <c r="S107" s="111">
        <f>IF(SUM(D107:R107)&gt;0,SUM(D107:R107)/'Expenses Summary'!$E63,"")</f>
        <v>0.85500000000000009</v>
      </c>
    </row>
    <row r="108" spans="1:19" s="31" customFormat="1" x14ac:dyDescent="0.2">
      <c r="A108" s="36"/>
      <c r="B108" s="33" t="s">
        <v>558</v>
      </c>
      <c r="C108" s="34" t="s">
        <v>721</v>
      </c>
      <c r="D108" s="172">
        <f t="shared" ref="D108:O108" si="9">IF(SUM(D90:D107)&gt;0,SUM(D90:D107),"")</f>
        <v>830</v>
      </c>
      <c r="E108" s="172">
        <f t="shared" si="9"/>
        <v>830</v>
      </c>
      <c r="F108" s="172">
        <f t="shared" si="9"/>
        <v>5308.6095599999999</v>
      </c>
      <c r="G108" s="172">
        <f t="shared" si="9"/>
        <v>1187.5216</v>
      </c>
      <c r="H108" s="172">
        <f t="shared" si="9"/>
        <v>10611.6057</v>
      </c>
      <c r="I108" s="172">
        <f t="shared" si="9"/>
        <v>8608.8942999999999</v>
      </c>
      <c r="J108" s="172">
        <f t="shared" si="9"/>
        <v>12244.884900000001</v>
      </c>
      <c r="K108" s="172">
        <f t="shared" si="9"/>
        <v>1234.7568000000001</v>
      </c>
      <c r="L108" s="172">
        <f t="shared" si="9"/>
        <v>9167.2909</v>
      </c>
      <c r="M108" s="172">
        <f t="shared" si="9"/>
        <v>1244.7568000000001</v>
      </c>
      <c r="N108" s="172">
        <f t="shared" si="9"/>
        <v>887.23519999999996</v>
      </c>
      <c r="O108" s="172">
        <f t="shared" si="9"/>
        <v>887.23519999999996</v>
      </c>
      <c r="P108" s="108"/>
      <c r="Q108" s="108"/>
      <c r="R108" s="108"/>
      <c r="S108" s="107"/>
    </row>
    <row r="109" spans="1:19" s="31" customFormat="1" x14ac:dyDescent="0.2">
      <c r="A109" s="36"/>
      <c r="B109" s="4"/>
      <c r="C109" s="3"/>
      <c r="D109" s="95"/>
      <c r="E109" s="95"/>
      <c r="F109" s="95"/>
      <c r="G109" s="95"/>
      <c r="H109" s="95"/>
      <c r="I109" s="95"/>
      <c r="J109" s="95"/>
      <c r="K109" s="95"/>
      <c r="L109" s="95"/>
      <c r="M109" s="95"/>
      <c r="N109" s="95"/>
      <c r="O109" s="95"/>
      <c r="P109" s="95"/>
      <c r="Q109" s="95"/>
      <c r="R109" s="95"/>
    </row>
    <row r="110" spans="1:19" s="31" customFormat="1" x14ac:dyDescent="0.2">
      <c r="B110" s="5" t="s">
        <v>722</v>
      </c>
      <c r="C110" s="3"/>
      <c r="D110" s="95"/>
      <c r="E110" s="95"/>
      <c r="F110" s="95"/>
      <c r="G110" s="95"/>
      <c r="H110" s="95"/>
      <c r="I110" s="95"/>
      <c r="J110" s="95"/>
      <c r="K110" s="95"/>
      <c r="L110" s="95"/>
      <c r="M110" s="95"/>
      <c r="N110" s="95"/>
      <c r="O110" s="95"/>
      <c r="P110" s="95"/>
      <c r="Q110" s="95"/>
      <c r="R110" s="95"/>
    </row>
    <row r="111" spans="1:19" s="31" customFormat="1" x14ac:dyDescent="0.2">
      <c r="A111" s="36"/>
      <c r="B111" s="139" t="str">
        <f>'Expenses Summary'!B67</f>
        <v>5200</v>
      </c>
      <c r="C111" s="139" t="str">
        <f>'Expenses Summary'!C67</f>
        <v>Travel and Conferences</v>
      </c>
      <c r="D111" s="64">
        <f>IF('Expenses Summary'!$E67="","",IF('Cash Flow %s Yr2'!D111="","",'Cash Flow %s Yr2'!D111*'Expenses Summary'!$E67))</f>
        <v>0</v>
      </c>
      <c r="E111" s="64">
        <f>IF('Expenses Summary'!$E67="","",IF('Cash Flow %s Yr2'!E111="","",'Cash Flow %s Yr2'!E111*'Expenses Summary'!$E67))</f>
        <v>0</v>
      </c>
      <c r="F111" s="64">
        <f>IF('Expenses Summary'!$E67="","",IF('Cash Flow %s Yr2'!F111="","",'Cash Flow %s Yr2'!F111*'Expenses Summary'!$E67))</f>
        <v>1512.6462000000001</v>
      </c>
      <c r="G111" s="64">
        <f>IF('Expenses Summary'!$E67="","",IF('Cash Flow %s Yr2'!G111="","",'Cash Flow %s Yr2'!G111*'Expenses Summary'!$E67))</f>
        <v>504.21540000000005</v>
      </c>
      <c r="H111" s="64">
        <f>IF('Expenses Summary'!$E67="","",IF('Cash Flow %s Yr2'!H111="","",'Cash Flow %s Yr2'!H111*'Expenses Summary'!$E67))</f>
        <v>504.21540000000005</v>
      </c>
      <c r="I111" s="64">
        <f>IF('Expenses Summary'!$E67="","",IF('Cash Flow %s Yr2'!I111="","",'Cash Flow %s Yr2'!I111*'Expenses Summary'!$E67))</f>
        <v>504.21540000000005</v>
      </c>
      <c r="J111" s="64">
        <f>IF('Expenses Summary'!$E67="","",IF('Cash Flow %s Yr2'!J111="","",'Cash Flow %s Yr2'!J111*'Expenses Summary'!$E67))</f>
        <v>504.21540000000005</v>
      </c>
      <c r="K111" s="64">
        <f>IF('Expenses Summary'!$E67="","",IF('Cash Flow %s Yr2'!K111="","",'Cash Flow %s Yr2'!K111*'Expenses Summary'!$E67))</f>
        <v>504.21540000000005</v>
      </c>
      <c r="L111" s="64">
        <f>IF('Expenses Summary'!$E67="","",IF('Cash Flow %s Yr2'!L111="","",'Cash Flow %s Yr2'!L111*'Expenses Summary'!$E67))</f>
        <v>504.21540000000005</v>
      </c>
      <c r="M111" s="64">
        <f>IF('Expenses Summary'!$E67="","",IF('Cash Flow %s Yr2'!M111="","",'Cash Flow %s Yr2'!M111*'Expenses Summary'!$E67))</f>
        <v>504.21540000000005</v>
      </c>
      <c r="N111" s="64">
        <f>IF('Expenses Summary'!$E67="","",IF('Cash Flow %s Yr2'!N111="","",'Cash Flow %s Yr2'!N111*'Expenses Summary'!$E67))</f>
        <v>0</v>
      </c>
      <c r="O111" s="64">
        <f>IF('Expenses Summary'!$E67="","",IF('Cash Flow %s Yr2'!O111="","",'Cash Flow %s Yr2'!O111*'Expenses Summary'!$E67))</f>
        <v>0</v>
      </c>
      <c r="P111" s="129"/>
      <c r="Q111" s="129"/>
      <c r="R111" s="129"/>
      <c r="S111" s="111">
        <f>IF(SUM(D111:R111)&gt;0,SUM(D111:R111)/'Expenses Summary'!$E67,"")</f>
        <v>1</v>
      </c>
    </row>
    <row r="112" spans="1:19" s="31" customFormat="1" x14ac:dyDescent="0.2">
      <c r="A112" s="36"/>
      <c r="B112" s="139" t="str">
        <f>'Expenses Summary'!B68</f>
        <v>5210</v>
      </c>
      <c r="C112" s="139" t="str">
        <f>'Expenses Summary'!C68</f>
        <v>Training and Development Expense</v>
      </c>
      <c r="D112" s="64">
        <f>IF('Expenses Summary'!$E68="","",IF('Cash Flow %s Yr2'!D112="","",'Cash Flow %s Yr2'!D112*'Expenses Summary'!$E68))</f>
        <v>0</v>
      </c>
      <c r="E112" s="64">
        <f>IF('Expenses Summary'!$E68="","",IF('Cash Flow %s Yr2'!E112="","",'Cash Flow %s Yr2'!E112*'Expenses Summary'!$E68))</f>
        <v>0</v>
      </c>
      <c r="F112" s="64">
        <f>IF('Expenses Summary'!$E68="","",IF('Cash Flow %s Yr2'!F112="","",'Cash Flow %s Yr2'!F112*'Expenses Summary'!$E68))</f>
        <v>1187.3951999999999</v>
      </c>
      <c r="G112" s="64">
        <f>IF('Expenses Summary'!$E68="","",IF('Cash Flow %s Yr2'!G112="","",'Cash Flow %s Yr2'!G112*'Expenses Summary'!$E68))</f>
        <v>0</v>
      </c>
      <c r="H112" s="64">
        <f>IF('Expenses Summary'!$E68="","",IF('Cash Flow %s Yr2'!H112="","",'Cash Flow %s Yr2'!H112*'Expenses Summary'!$E68))</f>
        <v>0</v>
      </c>
      <c r="I112" s="64">
        <f>IF('Expenses Summary'!$E68="","",IF('Cash Flow %s Yr2'!I112="","",'Cash Flow %s Yr2'!I112*'Expenses Summary'!$E68))</f>
        <v>0</v>
      </c>
      <c r="J112" s="64">
        <f>IF('Expenses Summary'!$E68="","",IF('Cash Flow %s Yr2'!J112="","",'Cash Flow %s Yr2'!J112*'Expenses Summary'!$E68))</f>
        <v>0</v>
      </c>
      <c r="K112" s="64">
        <f>IF('Expenses Summary'!$E68="","",IF('Cash Flow %s Yr2'!K112="","",'Cash Flow %s Yr2'!K112*'Expenses Summary'!$E68))</f>
        <v>0</v>
      </c>
      <c r="L112" s="64">
        <f>IF('Expenses Summary'!$E68="","",IF('Cash Flow %s Yr2'!L112="","",'Cash Flow %s Yr2'!L112*'Expenses Summary'!$E68))</f>
        <v>131.93280000000001</v>
      </c>
      <c r="M112" s="64">
        <f>IF('Expenses Summary'!$E68="","",IF('Cash Flow %s Yr2'!M112="","",'Cash Flow %s Yr2'!M112*'Expenses Summary'!$E68))</f>
        <v>0</v>
      </c>
      <c r="N112" s="64">
        <f>IF('Expenses Summary'!$E68="","",IF('Cash Flow %s Yr2'!N112="","",'Cash Flow %s Yr2'!N112*'Expenses Summary'!$E68))</f>
        <v>0</v>
      </c>
      <c r="O112" s="64">
        <f>IF('Expenses Summary'!$E68="","",IF('Cash Flow %s Yr2'!O112="","",'Cash Flow %s Yr2'!O112*'Expenses Summary'!$E68))</f>
        <v>0</v>
      </c>
      <c r="P112" s="129"/>
      <c r="Q112" s="129"/>
      <c r="R112" s="129"/>
      <c r="S112" s="111">
        <f>IF(SUM(D112:R112)&gt;0,SUM(D112:R112)/'Expenses Summary'!$E68,"")</f>
        <v>1</v>
      </c>
    </row>
    <row r="113" spans="1:19" s="31" customFormat="1" x14ac:dyDescent="0.2">
      <c r="A113" s="36"/>
      <c r="B113" s="139" t="str">
        <f>'Expenses Summary'!B69</f>
        <v>5300</v>
      </c>
      <c r="C113" s="139" t="str">
        <f>'Expenses Summary'!C69</f>
        <v>Dues and Memberships</v>
      </c>
      <c r="D113" s="64">
        <f>IF('Expenses Summary'!$E69="","",IF('Cash Flow %s Yr2'!D113="","",'Cash Flow %s Yr2'!D113*'Expenses Summary'!$E69))</f>
        <v>0</v>
      </c>
      <c r="E113" s="64">
        <f>IF('Expenses Summary'!$E69="","",IF('Cash Flow %s Yr2'!E113="","",'Cash Flow %s Yr2'!E113*'Expenses Summary'!$E69))</f>
        <v>0</v>
      </c>
      <c r="F113" s="64">
        <f>IF('Expenses Summary'!$E69="","",IF('Cash Flow %s Yr2'!F113="","",'Cash Flow %s Yr2'!F113*'Expenses Summary'!$E69))</f>
        <v>2324.7048</v>
      </c>
      <c r="G113" s="64">
        <f>IF('Expenses Summary'!$E69="","",IF('Cash Flow %s Yr2'!G113="","",'Cash Flow %s Yr2'!G113*'Expenses Summary'!$E69))</f>
        <v>774.90160000000014</v>
      </c>
      <c r="H113" s="64">
        <f>IF('Expenses Summary'!$E69="","",IF('Cash Flow %s Yr2'!H113="","",'Cash Flow %s Yr2'!H113*'Expenses Summary'!$E69))</f>
        <v>774.90160000000014</v>
      </c>
      <c r="I113" s="64">
        <f>IF('Expenses Summary'!$E69="","",IF('Cash Flow %s Yr2'!I113="","",'Cash Flow %s Yr2'!I113*'Expenses Summary'!$E69))</f>
        <v>774.90160000000014</v>
      </c>
      <c r="J113" s="64">
        <f>IF('Expenses Summary'!$E69="","",IF('Cash Flow %s Yr2'!J113="","",'Cash Flow %s Yr2'!J113*'Expenses Summary'!$E69))</f>
        <v>774.90160000000014</v>
      </c>
      <c r="K113" s="64">
        <f>IF('Expenses Summary'!$E69="","",IF('Cash Flow %s Yr2'!K113="","",'Cash Flow %s Yr2'!K113*'Expenses Summary'!$E69))</f>
        <v>774.90160000000014</v>
      </c>
      <c r="L113" s="64">
        <f>IF('Expenses Summary'!$E69="","",IF('Cash Flow %s Yr2'!L113="","",'Cash Flow %s Yr2'!L113*'Expenses Summary'!$E69))</f>
        <v>774.90160000000014</v>
      </c>
      <c r="M113" s="64">
        <f>IF('Expenses Summary'!$E69="","",IF('Cash Flow %s Yr2'!M113="","",'Cash Flow %s Yr2'!M113*'Expenses Summary'!$E69))</f>
        <v>774.90160000000014</v>
      </c>
      <c r="N113" s="64">
        <f>IF('Expenses Summary'!$E69="","",IF('Cash Flow %s Yr2'!N113="","",'Cash Flow %s Yr2'!N113*'Expenses Summary'!$E69))</f>
        <v>0</v>
      </c>
      <c r="O113" s="64">
        <f>IF('Expenses Summary'!$E69="","",IF('Cash Flow %s Yr2'!O113="","",'Cash Flow %s Yr2'!O113*'Expenses Summary'!$E69))</f>
        <v>0</v>
      </c>
      <c r="P113" s="129"/>
      <c r="Q113" s="129"/>
      <c r="R113" s="129"/>
      <c r="S113" s="111">
        <f>IF(SUM(D113:R113)&gt;0,SUM(D113:R113)/'Expenses Summary'!$E69,"")</f>
        <v>1.0000000000000002</v>
      </c>
    </row>
    <row r="114" spans="1:19" s="31" customFormat="1" x14ac:dyDescent="0.2">
      <c r="A114" s="36"/>
      <c r="B114" s="139" t="str">
        <f>'Expenses Summary'!B70</f>
        <v>5400</v>
      </c>
      <c r="C114" s="139" t="str">
        <f>'Expenses Summary'!C70</f>
        <v>Insurance</v>
      </c>
      <c r="D114" s="64">
        <f>IF('Expenses Summary'!$E70="","",IF('Cash Flow %s Yr2'!D114="","",'Cash Flow %s Yr2'!D114*'Expenses Summary'!$E70))</f>
        <v>0</v>
      </c>
      <c r="E114" s="64">
        <f>IF('Expenses Summary'!$E70="","",IF('Cash Flow %s Yr2'!E114="","",'Cash Flow %s Yr2'!E114*'Expenses Summary'!$E70))</f>
        <v>0</v>
      </c>
      <c r="F114" s="64">
        <f>IF('Expenses Summary'!$E70="","",IF('Cash Flow %s Yr2'!F114="","",'Cash Flow %s Yr2'!F114*'Expenses Summary'!$E70))</f>
        <v>4543.1304</v>
      </c>
      <c r="G114" s="64">
        <f>IF('Expenses Summary'!$E70="","",IF('Cash Flow %s Yr2'!G114="","",'Cash Flow %s Yr2'!G114*'Expenses Summary'!$E70))</f>
        <v>1514.3768</v>
      </c>
      <c r="H114" s="64">
        <f>IF('Expenses Summary'!$E70="","",IF('Cash Flow %s Yr2'!H114="","",'Cash Flow %s Yr2'!H114*'Expenses Summary'!$E70))</f>
        <v>1514.3768</v>
      </c>
      <c r="I114" s="64">
        <f>IF('Expenses Summary'!$E70="","",IF('Cash Flow %s Yr2'!I114="","",'Cash Flow %s Yr2'!I114*'Expenses Summary'!$E70))</f>
        <v>1514.3768</v>
      </c>
      <c r="J114" s="64">
        <f>IF('Expenses Summary'!$E70="","",IF('Cash Flow %s Yr2'!J114="","",'Cash Flow %s Yr2'!J114*'Expenses Summary'!$E70))</f>
        <v>1514.3768</v>
      </c>
      <c r="K114" s="64">
        <f>IF('Expenses Summary'!$E70="","",IF('Cash Flow %s Yr2'!K114="","",'Cash Flow %s Yr2'!K114*'Expenses Summary'!$E70))</f>
        <v>1514.3768</v>
      </c>
      <c r="L114" s="64">
        <f>IF('Expenses Summary'!$E70="","",IF('Cash Flow %s Yr2'!L114="","",'Cash Flow %s Yr2'!L114*'Expenses Summary'!$E70))</f>
        <v>1514.3768</v>
      </c>
      <c r="M114" s="64">
        <f>IF('Expenses Summary'!$E70="","",IF('Cash Flow %s Yr2'!M114="","",'Cash Flow %s Yr2'!M114*'Expenses Summary'!$E70))</f>
        <v>1514.3768</v>
      </c>
      <c r="N114" s="64">
        <f>IF('Expenses Summary'!$E70="","",IF('Cash Flow %s Yr2'!N114="","",'Cash Flow %s Yr2'!N114*'Expenses Summary'!$E70))</f>
        <v>0</v>
      </c>
      <c r="O114" s="64">
        <f>IF('Expenses Summary'!$E70="","",IF('Cash Flow %s Yr2'!O114="","",'Cash Flow %s Yr2'!O114*'Expenses Summary'!$E70))</f>
        <v>0</v>
      </c>
      <c r="P114" s="129"/>
      <c r="Q114" s="129"/>
      <c r="R114" s="129"/>
      <c r="S114" s="111">
        <f>IF(SUM(D114:R114)&gt;0,SUM(D114:R114)/'Expenses Summary'!$E70,"")</f>
        <v>1</v>
      </c>
    </row>
    <row r="115" spans="1:19" s="31" customFormat="1" x14ac:dyDescent="0.2">
      <c r="A115" s="36"/>
      <c r="B115" s="139" t="e">
        <f>'Expenses Summary'!#REF!</f>
        <v>#REF!</v>
      </c>
      <c r="C115" s="139" t="e">
        <f>'Expenses Summary'!#REF!</f>
        <v>#REF!</v>
      </c>
      <c r="D115" s="64" t="e">
        <f>IF('Expenses Summary'!#REF!="","",IF('Cash Flow %s Yr2'!D115="","",'Cash Flow %s Yr2'!D115*'Expenses Summary'!#REF!))</f>
        <v>#REF!</v>
      </c>
      <c r="E115" s="64" t="e">
        <f>IF('Expenses Summary'!#REF!="","",IF('Cash Flow %s Yr2'!E115="","",'Cash Flow %s Yr2'!E115*'Expenses Summary'!#REF!))</f>
        <v>#REF!</v>
      </c>
      <c r="F115" s="64" t="e">
        <f>IF('Expenses Summary'!#REF!="","",IF('Cash Flow %s Yr2'!F115="","",'Cash Flow %s Yr2'!F115*'Expenses Summary'!#REF!))</f>
        <v>#REF!</v>
      </c>
      <c r="G115" s="64" t="e">
        <f>IF('Expenses Summary'!#REF!="","",IF('Cash Flow %s Yr2'!G115="","",'Cash Flow %s Yr2'!G115*'Expenses Summary'!#REF!))</f>
        <v>#REF!</v>
      </c>
      <c r="H115" s="64" t="e">
        <f>IF('Expenses Summary'!#REF!="","",IF('Cash Flow %s Yr2'!H115="","",'Cash Flow %s Yr2'!H115*'Expenses Summary'!#REF!))</f>
        <v>#REF!</v>
      </c>
      <c r="I115" s="64" t="e">
        <f>IF('Expenses Summary'!#REF!="","",IF('Cash Flow %s Yr2'!I115="","",'Cash Flow %s Yr2'!I115*'Expenses Summary'!#REF!))</f>
        <v>#REF!</v>
      </c>
      <c r="J115" s="64" t="e">
        <f>IF('Expenses Summary'!#REF!="","",IF('Cash Flow %s Yr2'!J115="","",'Cash Flow %s Yr2'!J115*'Expenses Summary'!#REF!))</f>
        <v>#REF!</v>
      </c>
      <c r="K115" s="64" t="e">
        <f>IF('Expenses Summary'!#REF!="","",IF('Cash Flow %s Yr2'!K115="","",'Cash Flow %s Yr2'!K115*'Expenses Summary'!#REF!))</f>
        <v>#REF!</v>
      </c>
      <c r="L115" s="64" t="e">
        <f>IF('Expenses Summary'!#REF!="","",IF('Cash Flow %s Yr2'!L115="","",'Cash Flow %s Yr2'!L115*'Expenses Summary'!#REF!))</f>
        <v>#REF!</v>
      </c>
      <c r="M115" s="64" t="e">
        <f>IF('Expenses Summary'!#REF!="","",IF('Cash Flow %s Yr2'!M115="","",'Cash Flow %s Yr2'!M115*'Expenses Summary'!#REF!))</f>
        <v>#REF!</v>
      </c>
      <c r="N115" s="64" t="e">
        <f>IF('Expenses Summary'!#REF!="","",IF('Cash Flow %s Yr2'!N115="","",'Cash Flow %s Yr2'!N115*'Expenses Summary'!#REF!))</f>
        <v>#REF!</v>
      </c>
      <c r="O115" s="64" t="e">
        <f>IF('Expenses Summary'!#REF!="","",IF('Cash Flow %s Yr2'!O115="","",'Cash Flow %s Yr2'!O115*'Expenses Summary'!#REF!))</f>
        <v>#REF!</v>
      </c>
      <c r="P115" s="129"/>
      <c r="Q115" s="129"/>
      <c r="R115" s="129"/>
      <c r="S115" s="111" t="e">
        <f>IF(SUM(D115:R115)&gt;0,SUM(D115:R115)/'Expenses Summary'!#REF!,"")</f>
        <v>#REF!</v>
      </c>
    </row>
    <row r="116" spans="1:19" s="31" customFormat="1" x14ac:dyDescent="0.2">
      <c r="A116" s="36"/>
      <c r="B116" s="139" t="str">
        <f>'Expenses Summary'!B71</f>
        <v>5500</v>
      </c>
      <c r="C116" s="139" t="str">
        <f>'Expenses Summary'!C71</f>
        <v>Operation and Housekeeping Services/Supplies</v>
      </c>
      <c r="D116" s="64">
        <f>IF('Expenses Summary'!$E71="","",IF('Cash Flow %s Yr2'!D116="","",'Cash Flow %s Yr2'!D116*'Expenses Summary'!$E71))</f>
        <v>705.77838199999997</v>
      </c>
      <c r="E116" s="64">
        <f>IF('Expenses Summary'!$E71="","",IF('Cash Flow %s Yr2'!E116="","",'Cash Flow %s Yr2'!E116*'Expenses Summary'!$E71))</f>
        <v>705.77838199999997</v>
      </c>
      <c r="F116" s="64">
        <f>IF('Expenses Summary'!$E71="","",IF('Cash Flow %s Yr2'!F116="","",'Cash Flow %s Yr2'!F116*'Expenses Summary'!$E71))</f>
        <v>705.77838199999997</v>
      </c>
      <c r="G116" s="64">
        <f>IF('Expenses Summary'!$E71="","",IF('Cash Flow %s Yr2'!G116="","",'Cash Flow %s Yr2'!G116*'Expenses Summary'!$E71))</f>
        <v>705.77838199999997</v>
      </c>
      <c r="H116" s="64">
        <f>IF('Expenses Summary'!$E71="","",IF('Cash Flow %s Yr2'!H116="","",'Cash Flow %s Yr2'!H116*'Expenses Summary'!$E71))</f>
        <v>705.77838199999997</v>
      </c>
      <c r="I116" s="64">
        <f>IF('Expenses Summary'!$E71="","",IF('Cash Flow %s Yr2'!I116="","",'Cash Flow %s Yr2'!I116*'Expenses Summary'!$E71))</f>
        <v>705.77838199999997</v>
      </c>
      <c r="J116" s="64">
        <f>IF('Expenses Summary'!$E71="","",IF('Cash Flow %s Yr2'!J116="","",'Cash Flow %s Yr2'!J116*'Expenses Summary'!$E71))</f>
        <v>705.77838199999997</v>
      </c>
      <c r="K116" s="64">
        <f>IF('Expenses Summary'!$E71="","",IF('Cash Flow %s Yr2'!K116="","",'Cash Flow %s Yr2'!K116*'Expenses Summary'!$E71))</f>
        <v>705.77838199999997</v>
      </c>
      <c r="L116" s="64">
        <f>IF('Expenses Summary'!$E71="","",IF('Cash Flow %s Yr2'!L116="","",'Cash Flow %s Yr2'!L116*'Expenses Summary'!$E71))</f>
        <v>714.28173600000002</v>
      </c>
      <c r="M116" s="64">
        <f>IF('Expenses Summary'!$E71="","",IF('Cash Flow %s Yr2'!M116="","",'Cash Flow %s Yr2'!M116*'Expenses Summary'!$E71))</f>
        <v>714.28173600000002</v>
      </c>
      <c r="N116" s="64">
        <f>IF('Expenses Summary'!$E71="","",IF('Cash Flow %s Yr2'!N116="","",'Cash Flow %s Yr2'!N116*'Expenses Summary'!$E71))</f>
        <v>714.28173600000002</v>
      </c>
      <c r="O116" s="64">
        <f>IF('Expenses Summary'!$E71="","",IF('Cash Flow %s Yr2'!O116="","",'Cash Flow %s Yr2'!O116*'Expenses Summary'!$E71))</f>
        <v>714.28173600000002</v>
      </c>
      <c r="P116" s="129"/>
      <c r="Q116" s="129"/>
      <c r="R116" s="129"/>
      <c r="S116" s="111">
        <f>IF(SUM(D116:R116)&gt;0,SUM(D116:R116)/'Expenses Summary'!$E71,"")</f>
        <v>1</v>
      </c>
    </row>
    <row r="117" spans="1:19" s="31" customFormat="1" x14ac:dyDescent="0.2">
      <c r="A117" s="36"/>
      <c r="B117" s="139" t="str">
        <f>'Expenses Summary'!B72</f>
        <v>5501</v>
      </c>
      <c r="C117" s="139" t="str">
        <f>'Expenses Summary'!C72</f>
        <v>Utilities</v>
      </c>
      <c r="D117" s="64">
        <f>IF('Expenses Summary'!$E72="","",IF('Cash Flow %s Yr2'!D117="","",'Cash Flow %s Yr2'!D117*'Expenses Summary'!$E72))</f>
        <v>0</v>
      </c>
      <c r="E117" s="64">
        <f>IF('Expenses Summary'!$E72="","",IF('Cash Flow %s Yr2'!E117="","",'Cash Flow %s Yr2'!E117*'Expenses Summary'!$E72))</f>
        <v>0</v>
      </c>
      <c r="F117" s="64">
        <f>IF('Expenses Summary'!$E72="","",IF('Cash Flow %s Yr2'!F117="","",'Cash Flow %s Yr2'!F117*'Expenses Summary'!$E72))</f>
        <v>0</v>
      </c>
      <c r="G117" s="64">
        <f>IF('Expenses Summary'!$E72="","",IF('Cash Flow %s Yr2'!G117="","",'Cash Flow %s Yr2'!G117*'Expenses Summary'!$E72))</f>
        <v>0</v>
      </c>
      <c r="H117" s="64">
        <f>IF('Expenses Summary'!$E72="","",IF('Cash Flow %s Yr2'!H117="","",'Cash Flow %s Yr2'!H117*'Expenses Summary'!$E72))</f>
        <v>0</v>
      </c>
      <c r="I117" s="64">
        <f>IF('Expenses Summary'!$E72="","",IF('Cash Flow %s Yr2'!I117="","",'Cash Flow %s Yr2'!I117*'Expenses Summary'!$E72))</f>
        <v>0</v>
      </c>
      <c r="J117" s="64">
        <f>IF('Expenses Summary'!$E72="","",IF('Cash Flow %s Yr2'!J117="","",'Cash Flow %s Yr2'!J117*'Expenses Summary'!$E72))</f>
        <v>0</v>
      </c>
      <c r="K117" s="64">
        <f>IF('Expenses Summary'!$E72="","",IF('Cash Flow %s Yr2'!K117="","",'Cash Flow %s Yr2'!K117*'Expenses Summary'!$E72))</f>
        <v>0</v>
      </c>
      <c r="L117" s="64">
        <f>IF('Expenses Summary'!$E72="","",IF('Cash Flow %s Yr2'!L117="","",'Cash Flow %s Yr2'!L117*'Expenses Summary'!$E72))</f>
        <v>0</v>
      </c>
      <c r="M117" s="64">
        <f>IF('Expenses Summary'!$E72="","",IF('Cash Flow %s Yr2'!M117="","",'Cash Flow %s Yr2'!M117*'Expenses Summary'!$E72))</f>
        <v>0</v>
      </c>
      <c r="N117" s="64">
        <f>IF('Expenses Summary'!$E72="","",IF('Cash Flow %s Yr2'!N117="","",'Cash Flow %s Yr2'!N117*'Expenses Summary'!$E72))</f>
        <v>0</v>
      </c>
      <c r="O117" s="64">
        <f>IF('Expenses Summary'!$E72="","",IF('Cash Flow %s Yr2'!O117="","",'Cash Flow %s Yr2'!O117*'Expenses Summary'!$E72))</f>
        <v>0</v>
      </c>
      <c r="P117" s="129"/>
      <c r="Q117" s="129"/>
      <c r="R117" s="129"/>
      <c r="S117" s="111" t="str">
        <f>IF(SUM(D117:R117)&gt;0,SUM(D117:R117)/'Expenses Summary'!$E72,"")</f>
        <v/>
      </c>
    </row>
    <row r="118" spans="1:19" s="31" customFormat="1" x14ac:dyDescent="0.2">
      <c r="A118" s="36"/>
      <c r="B118" s="139" t="str">
        <f>'Expenses Summary'!B73</f>
        <v>5505</v>
      </c>
      <c r="C118" s="139" t="str">
        <f>'Expenses Summary'!C73</f>
        <v>Student Transportation / Field Trips</v>
      </c>
      <c r="D118" s="64">
        <f>IF('Expenses Summary'!$E73="","",IF('Cash Flow %s Yr2'!D118="","",'Cash Flow %s Yr2'!D118*'Expenses Summary'!$E73))</f>
        <v>0</v>
      </c>
      <c r="E118" s="64">
        <f>IF('Expenses Summary'!$E73="","",IF('Cash Flow %s Yr2'!E118="","",'Cash Flow %s Yr2'!E118*'Expenses Summary'!$E73))</f>
        <v>0</v>
      </c>
      <c r="F118" s="64">
        <f>IF('Expenses Summary'!$E73="","",IF('Cash Flow %s Yr2'!F118="","",'Cash Flow %s Yr2'!F118*'Expenses Summary'!$E73))</f>
        <v>0</v>
      </c>
      <c r="G118" s="64">
        <f>IF('Expenses Summary'!$E73="","",IF('Cash Flow %s Yr2'!G118="","",'Cash Flow %s Yr2'!G118*'Expenses Summary'!$E73))</f>
        <v>0</v>
      </c>
      <c r="H118" s="64">
        <f>IF('Expenses Summary'!$E73="","",IF('Cash Flow %s Yr2'!H118="","",'Cash Flow %s Yr2'!H118*'Expenses Summary'!$E73))</f>
        <v>0</v>
      </c>
      <c r="I118" s="64">
        <f>IF('Expenses Summary'!$E73="","",IF('Cash Flow %s Yr2'!I118="","",'Cash Flow %s Yr2'!I118*'Expenses Summary'!$E73))</f>
        <v>0</v>
      </c>
      <c r="J118" s="64">
        <f>IF('Expenses Summary'!$E73="","",IF('Cash Flow %s Yr2'!J118="","",'Cash Flow %s Yr2'!J118*'Expenses Summary'!$E73))</f>
        <v>0</v>
      </c>
      <c r="K118" s="64">
        <f>IF('Expenses Summary'!$E73="","",IF('Cash Flow %s Yr2'!K118="","",'Cash Flow %s Yr2'!K118*'Expenses Summary'!$E73))</f>
        <v>0</v>
      </c>
      <c r="L118" s="64">
        <f>IF('Expenses Summary'!$E73="","",IF('Cash Flow %s Yr2'!L118="","",'Cash Flow %s Yr2'!L118*'Expenses Summary'!$E73))</f>
        <v>0</v>
      </c>
      <c r="M118" s="64">
        <f>IF('Expenses Summary'!$E73="","",IF('Cash Flow %s Yr2'!M118="","",'Cash Flow %s Yr2'!M118*'Expenses Summary'!$E73))</f>
        <v>0</v>
      </c>
      <c r="N118" s="64">
        <f>IF('Expenses Summary'!$E73="","",IF('Cash Flow %s Yr2'!N118="","",'Cash Flow %s Yr2'!N118*'Expenses Summary'!$E73))</f>
        <v>0</v>
      </c>
      <c r="O118" s="64">
        <f>IF('Expenses Summary'!$E73="","",IF('Cash Flow %s Yr2'!O118="","",'Cash Flow %s Yr2'!O118*'Expenses Summary'!$E73))</f>
        <v>0</v>
      </c>
      <c r="P118" s="129"/>
      <c r="Q118" s="129"/>
      <c r="R118" s="129"/>
      <c r="S118" s="111" t="str">
        <f>IF(SUM(D118:R118)&gt;0,SUM(D118:R118)/'Expenses Summary'!$E73,"")</f>
        <v/>
      </c>
    </row>
    <row r="119" spans="1:19" s="31" customFormat="1" x14ac:dyDescent="0.2">
      <c r="A119" s="36"/>
      <c r="B119" s="139" t="str">
        <f>'Expenses Summary'!B74</f>
        <v>5600</v>
      </c>
      <c r="C119" s="139" t="str">
        <f>'Expenses Summary'!C74</f>
        <v>Space Rental/Leases Expense</v>
      </c>
      <c r="D119" s="64">
        <f>IF('Expenses Summary'!$E74="","",IF('Cash Flow %s Yr2'!D119="","",'Cash Flow %s Yr2'!D119*'Expenses Summary'!$E74))</f>
        <v>2603.91</v>
      </c>
      <c r="E119" s="64">
        <f>IF('Expenses Summary'!$E74="","",IF('Cash Flow %s Yr2'!E119="","",'Cash Flow %s Yr2'!E119*'Expenses Summary'!$E74))</f>
        <v>2603.91</v>
      </c>
      <c r="F119" s="64">
        <f>IF('Expenses Summary'!$E74="","",IF('Cash Flow %s Yr2'!F119="","",'Cash Flow %s Yr2'!F119*'Expenses Summary'!$E74))</f>
        <v>4687.0379999999996</v>
      </c>
      <c r="G119" s="64">
        <f>IF('Expenses Summary'!$E74="","",IF('Cash Flow %s Yr2'!G119="","",'Cash Flow %s Yr2'!G119*'Expenses Summary'!$E74))</f>
        <v>4687.0379999999996</v>
      </c>
      <c r="H119" s="64">
        <f>IF('Expenses Summary'!$E74="","",IF('Cash Flow %s Yr2'!H119="","",'Cash Flow %s Yr2'!H119*'Expenses Summary'!$E74))</f>
        <v>4687.0379999999996</v>
      </c>
      <c r="I119" s="64">
        <f>IF('Expenses Summary'!$E74="","",IF('Cash Flow %s Yr2'!I119="","",'Cash Flow %s Yr2'!I119*'Expenses Summary'!$E74))</f>
        <v>4687.0379999999996</v>
      </c>
      <c r="J119" s="64">
        <f>IF('Expenses Summary'!$E74="","",IF('Cash Flow %s Yr2'!J119="","",'Cash Flow %s Yr2'!J119*'Expenses Summary'!$E74))</f>
        <v>4687.0379999999996</v>
      </c>
      <c r="K119" s="64">
        <f>IF('Expenses Summary'!$E74="","",IF('Cash Flow %s Yr2'!K119="","",'Cash Flow %s Yr2'!K119*'Expenses Summary'!$E74))</f>
        <v>4687.0379999999996</v>
      </c>
      <c r="L119" s="64">
        <f>IF('Expenses Summary'!$E74="","",IF('Cash Flow %s Yr2'!L119="","",'Cash Flow %s Yr2'!L119*'Expenses Summary'!$E74))</f>
        <v>4687.0379999999996</v>
      </c>
      <c r="M119" s="64">
        <f>IF('Expenses Summary'!$E74="","",IF('Cash Flow %s Yr2'!M119="","",'Cash Flow %s Yr2'!M119*'Expenses Summary'!$E74))</f>
        <v>4687.0379999999996</v>
      </c>
      <c r="N119" s="64">
        <f>IF('Expenses Summary'!$E74="","",IF('Cash Flow %s Yr2'!N119="","",'Cash Flow %s Yr2'!N119*'Expenses Summary'!$E74))</f>
        <v>4687.0379999999996</v>
      </c>
      <c r="O119" s="64">
        <f>IF('Expenses Summary'!$E74="","",IF('Cash Flow %s Yr2'!O119="","",'Cash Flow %s Yr2'!O119*'Expenses Summary'!$E74))</f>
        <v>4687.0379999999996</v>
      </c>
      <c r="P119" s="129"/>
      <c r="Q119" s="129"/>
      <c r="R119" s="129"/>
      <c r="S119" s="111">
        <f>IF(SUM(D119:R119)&gt;0,SUM(D119:R119)/'Expenses Summary'!$E74,"")</f>
        <v>1.0000000000000002</v>
      </c>
    </row>
    <row r="120" spans="1:19" s="31" customFormat="1" x14ac:dyDescent="0.2">
      <c r="A120" s="36"/>
      <c r="B120" s="139" t="str">
        <f>'Expenses Summary'!B75</f>
        <v>5601</v>
      </c>
      <c r="C120" s="139" t="str">
        <f>'Expenses Summary'!C75</f>
        <v>Building Maintenance</v>
      </c>
      <c r="D120" s="64">
        <f>IF('Expenses Summary'!$E75="","",IF('Cash Flow %s Yr2'!D120="","",'Cash Flow %s Yr2'!D120*'Expenses Summary'!$E75))</f>
        <v>67.510706000000013</v>
      </c>
      <c r="E120" s="64">
        <f>IF('Expenses Summary'!$E75="","",IF('Cash Flow %s Yr2'!E120="","",'Cash Flow %s Yr2'!E120*'Expenses Summary'!$E75))</f>
        <v>67.510706000000013</v>
      </c>
      <c r="F120" s="64">
        <f>IF('Expenses Summary'!$E75="","",IF('Cash Flow %s Yr2'!F120="","",'Cash Flow %s Yr2'!F120*'Expenses Summary'!$E75))</f>
        <v>67.510706000000013</v>
      </c>
      <c r="G120" s="64">
        <f>IF('Expenses Summary'!$E75="","",IF('Cash Flow %s Yr2'!G120="","",'Cash Flow %s Yr2'!G120*'Expenses Summary'!$E75))</f>
        <v>67.510706000000013</v>
      </c>
      <c r="H120" s="64">
        <f>IF('Expenses Summary'!$E75="","",IF('Cash Flow %s Yr2'!H120="","",'Cash Flow %s Yr2'!H120*'Expenses Summary'!$E75))</f>
        <v>67.510706000000013</v>
      </c>
      <c r="I120" s="64">
        <f>IF('Expenses Summary'!$E75="","",IF('Cash Flow %s Yr2'!I120="","",'Cash Flow %s Yr2'!I120*'Expenses Summary'!$E75))</f>
        <v>67.510706000000013</v>
      </c>
      <c r="J120" s="64">
        <f>IF('Expenses Summary'!$E75="","",IF('Cash Flow %s Yr2'!J120="","",'Cash Flow %s Yr2'!J120*'Expenses Summary'!$E75))</f>
        <v>67.510706000000013</v>
      </c>
      <c r="K120" s="64">
        <f>IF('Expenses Summary'!$E75="","",IF('Cash Flow %s Yr2'!K120="","",'Cash Flow %s Yr2'!K120*'Expenses Summary'!$E75))</f>
        <v>67.510706000000013</v>
      </c>
      <c r="L120" s="64">
        <f>IF('Expenses Summary'!$E75="","",IF('Cash Flow %s Yr2'!L120="","",'Cash Flow %s Yr2'!L120*'Expenses Summary'!$E75))</f>
        <v>68.324088000000003</v>
      </c>
      <c r="M120" s="64">
        <f>IF('Expenses Summary'!$E75="","",IF('Cash Flow %s Yr2'!M120="","",'Cash Flow %s Yr2'!M120*'Expenses Summary'!$E75))</f>
        <v>68.324088000000003</v>
      </c>
      <c r="N120" s="64">
        <f>IF('Expenses Summary'!$E75="","",IF('Cash Flow %s Yr2'!N120="","",'Cash Flow %s Yr2'!N120*'Expenses Summary'!$E75))</f>
        <v>68.324088000000003</v>
      </c>
      <c r="O120" s="64">
        <f>IF('Expenses Summary'!$E75="","",IF('Cash Flow %s Yr2'!O120="","",'Cash Flow %s Yr2'!O120*'Expenses Summary'!$E75))</f>
        <v>68.324088000000003</v>
      </c>
      <c r="P120" s="129"/>
      <c r="Q120" s="129"/>
      <c r="R120" s="129"/>
      <c r="S120" s="111">
        <f>IF(SUM(D120:R120)&gt;0,SUM(D120:R120)/'Expenses Summary'!$E75,"")</f>
        <v>0.99999999999999989</v>
      </c>
    </row>
    <row r="121" spans="1:19" s="31" customFormat="1" x14ac:dyDescent="0.2">
      <c r="A121" s="36"/>
      <c r="B121" s="139" t="str">
        <f>'Expenses Summary'!B76</f>
        <v>5602</v>
      </c>
      <c r="C121" s="139" t="str">
        <f>'Expenses Summary'!C76</f>
        <v>Other Space Rental</v>
      </c>
      <c r="D121" s="64">
        <f>IF('Expenses Summary'!$E76="","",IF('Cash Flow %s Yr2'!D121="","",'Cash Flow %s Yr2'!D121*'Expenses Summary'!$E76))</f>
        <v>94.633280000000013</v>
      </c>
      <c r="E121" s="64">
        <f>IF('Expenses Summary'!$E76="","",IF('Cash Flow %s Yr2'!E121="","",'Cash Flow %s Yr2'!E121*'Expenses Summary'!$E76))</f>
        <v>94.633280000000013</v>
      </c>
      <c r="F121" s="64">
        <f>IF('Expenses Summary'!$E76="","",IF('Cash Flow %s Yr2'!F121="","",'Cash Flow %s Yr2'!F121*'Expenses Summary'!$E76))</f>
        <v>94.633280000000013</v>
      </c>
      <c r="G121" s="64">
        <f>IF('Expenses Summary'!$E76="","",IF('Cash Flow %s Yr2'!G121="","",'Cash Flow %s Yr2'!G121*'Expenses Summary'!$E76))</f>
        <v>94.633280000000013</v>
      </c>
      <c r="H121" s="64">
        <f>IF('Expenses Summary'!$E76="","",IF('Cash Flow %s Yr2'!H121="","",'Cash Flow %s Yr2'!H121*'Expenses Summary'!$E76))</f>
        <v>94.633280000000013</v>
      </c>
      <c r="I121" s="64">
        <f>IF('Expenses Summary'!$E76="","",IF('Cash Flow %s Yr2'!I121="","",'Cash Flow %s Yr2'!I121*'Expenses Summary'!$E76))</f>
        <v>94.633280000000013</v>
      </c>
      <c r="J121" s="64">
        <f>IF('Expenses Summary'!$E76="","",IF('Cash Flow %s Yr2'!J121="","",'Cash Flow %s Yr2'!J121*'Expenses Summary'!$E76))</f>
        <v>94.633280000000013</v>
      </c>
      <c r="K121" s="64">
        <f>IF('Expenses Summary'!$E76="","",IF('Cash Flow %s Yr2'!K121="","",'Cash Flow %s Yr2'!K121*'Expenses Summary'!$E76))</f>
        <v>94.633280000000013</v>
      </c>
      <c r="L121" s="64">
        <f>IF('Expenses Summary'!$E76="","",IF('Cash Flow %s Yr2'!L121="","",'Cash Flow %s Yr2'!L121*'Expenses Summary'!$E76))</f>
        <v>95.773440000000008</v>
      </c>
      <c r="M121" s="64">
        <f>IF('Expenses Summary'!$E76="","",IF('Cash Flow %s Yr2'!M121="","",'Cash Flow %s Yr2'!M121*'Expenses Summary'!$E76))</f>
        <v>95.773440000000008</v>
      </c>
      <c r="N121" s="64">
        <f>IF('Expenses Summary'!$E76="","",IF('Cash Flow %s Yr2'!N121="","",'Cash Flow %s Yr2'!N121*'Expenses Summary'!$E76))</f>
        <v>95.773440000000008</v>
      </c>
      <c r="O121" s="64">
        <f>IF('Expenses Summary'!$E76="","",IF('Cash Flow %s Yr2'!O121="","",'Cash Flow %s Yr2'!O121*'Expenses Summary'!$E76))</f>
        <v>95.773440000000008</v>
      </c>
      <c r="P121" s="129"/>
      <c r="Q121" s="129"/>
      <c r="R121" s="129"/>
      <c r="S121" s="111">
        <f>IF(SUM(D121:R121)&gt;0,SUM(D121:R121)/'Expenses Summary'!$E76,"")</f>
        <v>1</v>
      </c>
    </row>
    <row r="122" spans="1:19" s="31" customFormat="1" x14ac:dyDescent="0.2">
      <c r="A122" s="36"/>
      <c r="B122" s="139" t="str">
        <f>'Expenses Summary'!B77</f>
        <v>5605</v>
      </c>
      <c r="C122" s="139" t="str">
        <f>'Expenses Summary'!C77</f>
        <v>Equipment Rental/Lease Expense</v>
      </c>
      <c r="D122" s="64">
        <f>IF('Expenses Summary'!$E77="","",IF('Cash Flow %s Yr2'!D122="","",'Cash Flow %s Yr2'!D122*'Expenses Summary'!$E77))</f>
        <v>0</v>
      </c>
      <c r="E122" s="64">
        <f>IF('Expenses Summary'!$E77="","",IF('Cash Flow %s Yr2'!E122="","",'Cash Flow %s Yr2'!E122*'Expenses Summary'!$E77))</f>
        <v>0</v>
      </c>
      <c r="F122" s="64">
        <f>IF('Expenses Summary'!$E77="","",IF('Cash Flow %s Yr2'!F122="","",'Cash Flow %s Yr2'!F122*'Expenses Summary'!$E77))</f>
        <v>138.24440000000001</v>
      </c>
      <c r="G122" s="64">
        <f>IF('Expenses Summary'!$E77="","",IF('Cash Flow %s Yr2'!G122="","",'Cash Flow %s Yr2'!G122*'Expenses Summary'!$E77))</f>
        <v>138.24440000000001</v>
      </c>
      <c r="H122" s="64">
        <f>IF('Expenses Summary'!$E77="","",IF('Cash Flow %s Yr2'!H122="","",'Cash Flow %s Yr2'!H122*'Expenses Summary'!$E77))</f>
        <v>138.24440000000001</v>
      </c>
      <c r="I122" s="64">
        <f>IF('Expenses Summary'!$E77="","",IF('Cash Flow %s Yr2'!I122="","",'Cash Flow %s Yr2'!I122*'Expenses Summary'!$E77))</f>
        <v>138.24440000000001</v>
      </c>
      <c r="J122" s="64">
        <f>IF('Expenses Summary'!$E77="","",IF('Cash Flow %s Yr2'!J122="","",'Cash Flow %s Yr2'!J122*'Expenses Summary'!$E77))</f>
        <v>138.24440000000001</v>
      </c>
      <c r="K122" s="64">
        <f>IF('Expenses Summary'!$E77="","",IF('Cash Flow %s Yr2'!K122="","",'Cash Flow %s Yr2'!K122*'Expenses Summary'!$E77))</f>
        <v>138.24440000000001</v>
      </c>
      <c r="L122" s="64">
        <f>IF('Expenses Summary'!$E77="","",IF('Cash Flow %s Yr2'!L122="","",'Cash Flow %s Yr2'!L122*'Expenses Summary'!$E77))</f>
        <v>138.24440000000001</v>
      </c>
      <c r="M122" s="64">
        <f>IF('Expenses Summary'!$E77="","",IF('Cash Flow %s Yr2'!M122="","",'Cash Flow %s Yr2'!M122*'Expenses Summary'!$E77))</f>
        <v>138.24440000000001</v>
      </c>
      <c r="N122" s="64">
        <f>IF('Expenses Summary'!$E77="","",IF('Cash Flow %s Yr2'!N122="","",'Cash Flow %s Yr2'!N122*'Expenses Summary'!$E77))</f>
        <v>138.24440000000001</v>
      </c>
      <c r="O122" s="64">
        <f>IF('Expenses Summary'!$E77="","",IF('Cash Flow %s Yr2'!O122="","",'Cash Flow %s Yr2'!O122*'Expenses Summary'!$E77))</f>
        <v>138.24440000000001</v>
      </c>
      <c r="P122" s="129"/>
      <c r="Q122" s="129"/>
      <c r="R122" s="129"/>
      <c r="S122" s="111">
        <f>IF(SUM(D122:R122)&gt;0,SUM(D122:R122)/'Expenses Summary'!$E77,"")</f>
        <v>1.0000000000000002</v>
      </c>
    </row>
    <row r="123" spans="1:19" s="31" customFormat="1" x14ac:dyDescent="0.2">
      <c r="A123" s="36"/>
      <c r="B123" s="139" t="str">
        <f>'Expenses Summary'!B78</f>
        <v>5610</v>
      </c>
      <c r="C123" s="139" t="str">
        <f>'Expenses Summary'!C78</f>
        <v>Equipment Repair</v>
      </c>
      <c r="D123" s="64">
        <f>IF('Expenses Summary'!$E78="","",IF('Cash Flow %s Yr2'!D123="","",'Cash Flow %s Yr2'!D123*'Expenses Summary'!$E78))</f>
        <v>60.159728000000008</v>
      </c>
      <c r="E123" s="64">
        <f>IF('Expenses Summary'!$E78="","",IF('Cash Flow %s Yr2'!E123="","",'Cash Flow %s Yr2'!E123*'Expenses Summary'!$E78))</f>
        <v>60.159728000000008</v>
      </c>
      <c r="F123" s="64">
        <f>IF('Expenses Summary'!$E78="","",IF('Cash Flow %s Yr2'!F123="","",'Cash Flow %s Yr2'!F123*'Expenses Summary'!$E78))</f>
        <v>60.159728000000008</v>
      </c>
      <c r="G123" s="64">
        <f>IF('Expenses Summary'!$E78="","",IF('Cash Flow %s Yr2'!G123="","",'Cash Flow %s Yr2'!G123*'Expenses Summary'!$E78))</f>
        <v>60.159728000000008</v>
      </c>
      <c r="H123" s="64">
        <f>IF('Expenses Summary'!$E78="","",IF('Cash Flow %s Yr2'!H123="","",'Cash Flow %s Yr2'!H123*'Expenses Summary'!$E78))</f>
        <v>60.159728000000008</v>
      </c>
      <c r="I123" s="64">
        <f>IF('Expenses Summary'!$E78="","",IF('Cash Flow %s Yr2'!I123="","",'Cash Flow %s Yr2'!I123*'Expenses Summary'!$E78))</f>
        <v>60.159728000000008</v>
      </c>
      <c r="J123" s="64">
        <f>IF('Expenses Summary'!$E78="","",IF('Cash Flow %s Yr2'!J123="","",'Cash Flow %s Yr2'!J123*'Expenses Summary'!$E78))</f>
        <v>60.159728000000008</v>
      </c>
      <c r="K123" s="64">
        <f>IF('Expenses Summary'!$E78="","",IF('Cash Flow %s Yr2'!K123="","",'Cash Flow %s Yr2'!K123*'Expenses Summary'!$E78))</f>
        <v>60.159728000000008</v>
      </c>
      <c r="L123" s="64">
        <f>IF('Expenses Summary'!$E78="","",IF('Cash Flow %s Yr2'!L123="","",'Cash Flow %s Yr2'!L123*'Expenses Summary'!$E78))</f>
        <v>60.884544000000005</v>
      </c>
      <c r="M123" s="64">
        <f>IF('Expenses Summary'!$E78="","",IF('Cash Flow %s Yr2'!M123="","",'Cash Flow %s Yr2'!M123*'Expenses Summary'!$E78))</f>
        <v>60.884544000000005</v>
      </c>
      <c r="N123" s="64">
        <f>IF('Expenses Summary'!$E78="","",IF('Cash Flow %s Yr2'!N123="","",'Cash Flow %s Yr2'!N123*'Expenses Summary'!$E78))</f>
        <v>60.884544000000005</v>
      </c>
      <c r="O123" s="64">
        <f>IF('Expenses Summary'!$E78="","",IF('Cash Flow %s Yr2'!O123="","",'Cash Flow %s Yr2'!O123*'Expenses Summary'!$E78))</f>
        <v>60.884544000000005</v>
      </c>
      <c r="P123" s="129"/>
      <c r="Q123" s="129"/>
      <c r="R123" s="129"/>
      <c r="S123" s="111">
        <f>IF(SUM(D123:R123)&gt;0,SUM(D123:R123)/'Expenses Summary'!$E78,"")</f>
        <v>1.0000000000000002</v>
      </c>
    </row>
    <row r="124" spans="1:19" s="31" customFormat="1" x14ac:dyDescent="0.2">
      <c r="A124" s="36"/>
      <c r="B124" s="139" t="str">
        <f>'Expenses Summary'!B79</f>
        <v>5800</v>
      </c>
      <c r="C124" s="139" t="str">
        <f>'Expenses Summary'!C79</f>
        <v>Professional/Consulting Services and Operating Expenditures</v>
      </c>
      <c r="D124" s="64">
        <f>IF('Expenses Summary'!$E79="","",IF('Cash Flow %s Yr2'!D124="","",'Cash Flow %s Yr2'!D124*'Expenses Summary'!$E79))</f>
        <v>2693.8270000000002</v>
      </c>
      <c r="E124" s="64">
        <f>IF('Expenses Summary'!$E79="","",IF('Cash Flow %s Yr2'!E124="","",'Cash Flow %s Yr2'!E124*'Expenses Summary'!$E79))</f>
        <v>2693.8270000000002</v>
      </c>
      <c r="F124" s="64">
        <f>IF('Expenses Summary'!$E79="","",IF('Cash Flow %s Yr2'!F124="","",'Cash Flow %s Yr2'!F124*'Expenses Summary'!$E79))</f>
        <v>4848.8886000000002</v>
      </c>
      <c r="G124" s="64">
        <f>IF('Expenses Summary'!$E79="","",IF('Cash Flow %s Yr2'!G124="","",'Cash Flow %s Yr2'!G124*'Expenses Summary'!$E79))</f>
        <v>4848.8886000000002</v>
      </c>
      <c r="H124" s="64">
        <f>IF('Expenses Summary'!$E79="","",IF('Cash Flow %s Yr2'!H124="","",'Cash Flow %s Yr2'!H124*'Expenses Summary'!$E79))</f>
        <v>4848.8886000000002</v>
      </c>
      <c r="I124" s="64">
        <f>IF('Expenses Summary'!$E79="","",IF('Cash Flow %s Yr2'!I124="","",'Cash Flow %s Yr2'!I124*'Expenses Summary'!$E79))</f>
        <v>4848.8886000000002</v>
      </c>
      <c r="J124" s="64">
        <f>IF('Expenses Summary'!$E79="","",IF('Cash Flow %s Yr2'!J124="","",'Cash Flow %s Yr2'!J124*'Expenses Summary'!$E79))</f>
        <v>4848.8886000000002</v>
      </c>
      <c r="K124" s="64">
        <f>IF('Expenses Summary'!$E79="","",IF('Cash Flow %s Yr2'!K124="","",'Cash Flow %s Yr2'!K124*'Expenses Summary'!$E79))</f>
        <v>4848.8886000000002</v>
      </c>
      <c r="L124" s="64">
        <f>IF('Expenses Summary'!$E79="","",IF('Cash Flow %s Yr2'!L124="","",'Cash Flow %s Yr2'!L124*'Expenses Summary'!$E79))</f>
        <v>4848.8886000000002</v>
      </c>
      <c r="M124" s="64">
        <f>IF('Expenses Summary'!$E79="","",IF('Cash Flow %s Yr2'!M124="","",'Cash Flow %s Yr2'!M124*'Expenses Summary'!$E79))</f>
        <v>4848.8886000000002</v>
      </c>
      <c r="N124" s="64">
        <f>IF('Expenses Summary'!$E79="","",IF('Cash Flow %s Yr2'!N124="","",'Cash Flow %s Yr2'!N124*'Expenses Summary'!$E79))</f>
        <v>4848.8886000000002</v>
      </c>
      <c r="O124" s="64">
        <f>IF('Expenses Summary'!$E79="","",IF('Cash Flow %s Yr2'!O124="","",'Cash Flow %s Yr2'!O124*'Expenses Summary'!$E79))</f>
        <v>4848.8886000000002</v>
      </c>
      <c r="P124" s="129"/>
      <c r="Q124" s="129"/>
      <c r="R124" s="129"/>
      <c r="S124" s="111">
        <f>IF(SUM(D124:R124)&gt;0,SUM(D124:R124)/'Expenses Summary'!$E79,"")</f>
        <v>0.99999999999999989</v>
      </c>
    </row>
    <row r="125" spans="1:19" s="31" customFormat="1" x14ac:dyDescent="0.2">
      <c r="A125" s="36"/>
      <c r="B125" s="139" t="str">
        <f>'Expenses Summary'!B80</f>
        <v>5803</v>
      </c>
      <c r="C125" s="139" t="str">
        <f>'Expenses Summary'!C80</f>
        <v>Banking and Payroll Service Fees</v>
      </c>
      <c r="D125" s="64">
        <f>IF('Expenses Summary'!$E80="","",IF('Cash Flow %s Yr2'!D125="","",'Cash Flow %s Yr2'!D125*'Expenses Summary'!$E80))</f>
        <v>124.34870000000001</v>
      </c>
      <c r="E125" s="64">
        <f>IF('Expenses Summary'!$E80="","",IF('Cash Flow %s Yr2'!E125="","",'Cash Flow %s Yr2'!E125*'Expenses Summary'!$E80))</f>
        <v>124.34870000000001</v>
      </c>
      <c r="F125" s="64">
        <f>IF('Expenses Summary'!$E80="","",IF('Cash Flow %s Yr2'!F125="","",'Cash Flow %s Yr2'!F125*'Expenses Summary'!$E80))</f>
        <v>223.82766000000001</v>
      </c>
      <c r="G125" s="64">
        <f>IF('Expenses Summary'!$E80="","",IF('Cash Flow %s Yr2'!G125="","",'Cash Flow %s Yr2'!G125*'Expenses Summary'!$E80))</f>
        <v>223.82766000000001</v>
      </c>
      <c r="H125" s="64">
        <f>IF('Expenses Summary'!$E80="","",IF('Cash Flow %s Yr2'!H125="","",'Cash Flow %s Yr2'!H125*'Expenses Summary'!$E80))</f>
        <v>223.82766000000001</v>
      </c>
      <c r="I125" s="64">
        <f>IF('Expenses Summary'!$E80="","",IF('Cash Flow %s Yr2'!I125="","",'Cash Flow %s Yr2'!I125*'Expenses Summary'!$E80))</f>
        <v>223.82766000000001</v>
      </c>
      <c r="J125" s="64">
        <f>IF('Expenses Summary'!$E80="","",IF('Cash Flow %s Yr2'!J125="","",'Cash Flow %s Yr2'!J125*'Expenses Summary'!$E80))</f>
        <v>223.82766000000001</v>
      </c>
      <c r="K125" s="64">
        <f>IF('Expenses Summary'!$E80="","",IF('Cash Flow %s Yr2'!K125="","",'Cash Flow %s Yr2'!K125*'Expenses Summary'!$E80))</f>
        <v>223.82766000000001</v>
      </c>
      <c r="L125" s="64">
        <f>IF('Expenses Summary'!$E80="","",IF('Cash Flow %s Yr2'!L125="","",'Cash Flow %s Yr2'!L125*'Expenses Summary'!$E80))</f>
        <v>223.82766000000001</v>
      </c>
      <c r="M125" s="64">
        <f>IF('Expenses Summary'!$E80="","",IF('Cash Flow %s Yr2'!M125="","",'Cash Flow %s Yr2'!M125*'Expenses Summary'!$E80))</f>
        <v>223.82766000000001</v>
      </c>
      <c r="N125" s="64">
        <f>IF('Expenses Summary'!$E80="","",IF('Cash Flow %s Yr2'!N125="","",'Cash Flow %s Yr2'!N125*'Expenses Summary'!$E80))</f>
        <v>223.82766000000001</v>
      </c>
      <c r="O125" s="64">
        <f>IF('Expenses Summary'!$E80="","",IF('Cash Flow %s Yr2'!O125="","",'Cash Flow %s Yr2'!O125*'Expenses Summary'!$E80))</f>
        <v>223.82766000000001</v>
      </c>
      <c r="P125" s="129"/>
      <c r="Q125" s="129"/>
      <c r="R125" s="129"/>
      <c r="S125" s="111">
        <f>IF(SUM(D125:R125)&gt;0,SUM(D125:R125)/'Expenses Summary'!$E80,"")</f>
        <v>0.99999999999999978</v>
      </c>
    </row>
    <row r="126" spans="1:19" s="31" customFormat="1" x14ac:dyDescent="0.2">
      <c r="A126" s="36"/>
      <c r="B126" s="139" t="str">
        <f>'Expenses Summary'!B81</f>
        <v>5805</v>
      </c>
      <c r="C126" s="139" t="str">
        <f>'Expenses Summary'!C81</f>
        <v>Legal Services and Audit</v>
      </c>
      <c r="D126" s="64">
        <f>IF('Expenses Summary'!$E81="","",IF('Cash Flow %s Yr2'!D126="","",'Cash Flow %s Yr2'!D126*'Expenses Summary'!$E81))</f>
        <v>0</v>
      </c>
      <c r="E126" s="64">
        <f>IF('Expenses Summary'!$E81="","",IF('Cash Flow %s Yr2'!E126="","",'Cash Flow %s Yr2'!E126*'Expenses Summary'!$E81))</f>
        <v>0</v>
      </c>
      <c r="F126" s="64">
        <f>IF('Expenses Summary'!$E81="","",IF('Cash Flow %s Yr2'!F126="","",'Cash Flow %s Yr2'!F126*'Expenses Summary'!$E81))</f>
        <v>0</v>
      </c>
      <c r="G126" s="64">
        <f>IF('Expenses Summary'!$E81="","",IF('Cash Flow %s Yr2'!G126="","",'Cash Flow %s Yr2'!G126*'Expenses Summary'!$E81))</f>
        <v>0</v>
      </c>
      <c r="H126" s="64">
        <f>IF('Expenses Summary'!$E81="","",IF('Cash Flow %s Yr2'!H126="","",'Cash Flow %s Yr2'!H126*'Expenses Summary'!$E81))</f>
        <v>1068.9000000000001</v>
      </c>
      <c r="I126" s="64">
        <f>IF('Expenses Summary'!$E81="","",IF('Cash Flow %s Yr2'!I126="","",'Cash Flow %s Yr2'!I126*'Expenses Summary'!$E81))</f>
        <v>1068.9000000000001</v>
      </c>
      <c r="J126" s="64">
        <f>IF('Expenses Summary'!$E81="","",IF('Cash Flow %s Yr2'!J126="","",'Cash Flow %s Yr2'!J126*'Expenses Summary'!$E81))</f>
        <v>1068.9000000000001</v>
      </c>
      <c r="K126" s="64">
        <f>IF('Expenses Summary'!$E81="","",IF('Cash Flow %s Yr2'!K126="","",'Cash Flow %s Yr2'!K126*'Expenses Summary'!$E81))</f>
        <v>1068.9000000000001</v>
      </c>
      <c r="L126" s="64">
        <f>IF('Expenses Summary'!$E81="","",IF('Cash Flow %s Yr2'!L126="","",'Cash Flow %s Yr2'!L126*'Expenses Summary'!$E81))</f>
        <v>1068.9000000000001</v>
      </c>
      <c r="M126" s="64">
        <f>IF('Expenses Summary'!$E81="","",IF('Cash Flow %s Yr2'!M126="","",'Cash Flow %s Yr2'!M126*'Expenses Summary'!$E81))</f>
        <v>1068.9000000000001</v>
      </c>
      <c r="N126" s="64">
        <f>IF('Expenses Summary'!$E81="","",IF('Cash Flow %s Yr2'!N126="","",'Cash Flow %s Yr2'!N126*'Expenses Summary'!$E81))</f>
        <v>1068.9000000000001</v>
      </c>
      <c r="O126" s="64">
        <f>IF('Expenses Summary'!$E81="","",IF('Cash Flow %s Yr2'!O126="","",'Cash Flow %s Yr2'!O126*'Expenses Summary'!$E81))</f>
        <v>1068.9000000000001</v>
      </c>
      <c r="P126" s="129"/>
      <c r="Q126" s="129"/>
      <c r="R126" s="129"/>
      <c r="S126" s="111">
        <f>IF(SUM(D126:R126)&gt;0,SUM(D126:R126)/'Expenses Summary'!$E81,"")</f>
        <v>0.99999999999999978</v>
      </c>
    </row>
    <row r="127" spans="1:19" s="31" customFormat="1" x14ac:dyDescent="0.2">
      <c r="A127" s="36"/>
      <c r="B127" s="139" t="str">
        <f>'Expenses Summary'!B82</f>
        <v>5810</v>
      </c>
      <c r="C127" s="139" t="str">
        <f>'Expenses Summary'!C82</f>
        <v>Educational Consultants</v>
      </c>
      <c r="D127" s="64">
        <f>IF('Expenses Summary'!$E82="","",IF('Cash Flow %s Yr2'!D127="","",'Cash Flow %s Yr2'!D127*'Expenses Summary'!$E82))</f>
        <v>1529.2754000000002</v>
      </c>
      <c r="E127" s="64">
        <f>IF('Expenses Summary'!$E82="","",IF('Cash Flow %s Yr2'!E127="","",'Cash Flow %s Yr2'!E127*'Expenses Summary'!$E82))</f>
        <v>1529.2754000000002</v>
      </c>
      <c r="F127" s="64">
        <f>IF('Expenses Summary'!$E82="","",IF('Cash Flow %s Yr2'!F127="","",'Cash Flow %s Yr2'!F127*'Expenses Summary'!$E82))</f>
        <v>2752.6957200000002</v>
      </c>
      <c r="G127" s="64">
        <f>IF('Expenses Summary'!$E82="","",IF('Cash Flow %s Yr2'!G127="","",'Cash Flow %s Yr2'!G127*'Expenses Summary'!$E82))</f>
        <v>2752.6957200000002</v>
      </c>
      <c r="H127" s="64">
        <f>IF('Expenses Summary'!$E82="","",IF('Cash Flow %s Yr2'!H127="","",'Cash Flow %s Yr2'!H127*'Expenses Summary'!$E82))</f>
        <v>2752.6957200000002</v>
      </c>
      <c r="I127" s="64">
        <f>IF('Expenses Summary'!$E82="","",IF('Cash Flow %s Yr2'!I127="","",'Cash Flow %s Yr2'!I127*'Expenses Summary'!$E82))</f>
        <v>2752.6957200000002</v>
      </c>
      <c r="J127" s="64">
        <f>IF('Expenses Summary'!$E82="","",IF('Cash Flow %s Yr2'!J127="","",'Cash Flow %s Yr2'!J127*'Expenses Summary'!$E82))</f>
        <v>2752.6957200000002</v>
      </c>
      <c r="K127" s="64">
        <f>IF('Expenses Summary'!$E82="","",IF('Cash Flow %s Yr2'!K127="","",'Cash Flow %s Yr2'!K127*'Expenses Summary'!$E82))</f>
        <v>2752.6957200000002</v>
      </c>
      <c r="L127" s="64">
        <f>IF('Expenses Summary'!$E82="","",IF('Cash Flow %s Yr2'!L127="","",'Cash Flow %s Yr2'!L127*'Expenses Summary'!$E82))</f>
        <v>2752.6957200000002</v>
      </c>
      <c r="M127" s="64">
        <f>IF('Expenses Summary'!$E82="","",IF('Cash Flow %s Yr2'!M127="","",'Cash Flow %s Yr2'!M127*'Expenses Summary'!$E82))</f>
        <v>2752.6957200000002</v>
      </c>
      <c r="N127" s="64">
        <f>IF('Expenses Summary'!$E82="","",IF('Cash Flow %s Yr2'!N127="","",'Cash Flow %s Yr2'!N127*'Expenses Summary'!$E82))</f>
        <v>2752.6957200000002</v>
      </c>
      <c r="O127" s="64">
        <f>IF('Expenses Summary'!$E82="","",IF('Cash Flow %s Yr2'!O127="","",'Cash Flow %s Yr2'!O127*'Expenses Summary'!$E82))</f>
        <v>2752.6957200000002</v>
      </c>
      <c r="P127" s="129"/>
      <c r="Q127" s="129"/>
      <c r="R127" s="129"/>
      <c r="S127" s="111">
        <f>IF(SUM(D127:R127)&gt;0,SUM(D127:R127)/'Expenses Summary'!$E82,"")</f>
        <v>0.99999999999999989</v>
      </c>
    </row>
    <row r="128" spans="1:19" s="31" customFormat="1" x14ac:dyDescent="0.2">
      <c r="A128" s="36"/>
      <c r="B128" s="139" t="str">
        <f>'Expenses Summary'!B83</f>
        <v>5815</v>
      </c>
      <c r="C128" s="139" t="str">
        <f>'Expenses Summary'!C83</f>
        <v>Advertising / Recruiting</v>
      </c>
      <c r="D128" s="64">
        <f>IF('Expenses Summary'!$E83="","",IF('Cash Flow %s Yr2'!D128="","",'Cash Flow %s Yr2'!D128*'Expenses Summary'!$E83))</f>
        <v>0</v>
      </c>
      <c r="E128" s="64">
        <f>IF('Expenses Summary'!$E83="","",IF('Cash Flow %s Yr2'!E128="","",'Cash Flow %s Yr2'!E128*'Expenses Summary'!$E83))</f>
        <v>0</v>
      </c>
      <c r="F128" s="64">
        <f>IF('Expenses Summary'!$E83="","",IF('Cash Flow %s Yr2'!F128="","",'Cash Flow %s Yr2'!F128*'Expenses Summary'!$E83))</f>
        <v>60.265600000000006</v>
      </c>
      <c r="G128" s="64">
        <f>IF('Expenses Summary'!$E83="","",IF('Cash Flow %s Yr2'!G128="","",'Cash Flow %s Yr2'!G128*'Expenses Summary'!$E83))</f>
        <v>60.265600000000006</v>
      </c>
      <c r="H128" s="64">
        <f>IF('Expenses Summary'!$E83="","",IF('Cash Flow %s Yr2'!H128="","",'Cash Flow %s Yr2'!H128*'Expenses Summary'!$E83))</f>
        <v>60.265600000000006</v>
      </c>
      <c r="I128" s="64">
        <f>IF('Expenses Summary'!$E83="","",IF('Cash Flow %s Yr2'!I128="","",'Cash Flow %s Yr2'!I128*'Expenses Summary'!$E83))</f>
        <v>60.265600000000006</v>
      </c>
      <c r="J128" s="64">
        <f>IF('Expenses Summary'!$E83="","",IF('Cash Flow %s Yr2'!J128="","",'Cash Flow %s Yr2'!J128*'Expenses Summary'!$E83))</f>
        <v>60.265600000000006</v>
      </c>
      <c r="K128" s="64">
        <f>IF('Expenses Summary'!$E83="","",IF('Cash Flow %s Yr2'!K128="","",'Cash Flow %s Yr2'!K128*'Expenses Summary'!$E83))</f>
        <v>60.265600000000006</v>
      </c>
      <c r="L128" s="64">
        <f>IF('Expenses Summary'!$E83="","",IF('Cash Flow %s Yr2'!L128="","",'Cash Flow %s Yr2'!L128*'Expenses Summary'!$E83))</f>
        <v>60.265600000000006</v>
      </c>
      <c r="M128" s="64">
        <f>IF('Expenses Summary'!$E83="","",IF('Cash Flow %s Yr2'!M128="","",'Cash Flow %s Yr2'!M128*'Expenses Summary'!$E83))</f>
        <v>60.265600000000006</v>
      </c>
      <c r="N128" s="64">
        <f>IF('Expenses Summary'!$E83="","",IF('Cash Flow %s Yr2'!N128="","",'Cash Flow %s Yr2'!N128*'Expenses Summary'!$E83))</f>
        <v>60.265600000000006</v>
      </c>
      <c r="O128" s="64">
        <f>IF('Expenses Summary'!$E83="","",IF('Cash Flow %s Yr2'!O128="","",'Cash Flow %s Yr2'!O128*'Expenses Summary'!$E83))</f>
        <v>60.265600000000006</v>
      </c>
      <c r="P128" s="129"/>
      <c r="Q128" s="129"/>
      <c r="R128" s="129"/>
      <c r="S128" s="111">
        <f>IF(SUM(D128:R128)&gt;0,SUM(D128:R128)/'Expenses Summary'!$E83,"")</f>
        <v>0.99999999999999978</v>
      </c>
    </row>
    <row r="129" spans="1:19" s="31" customFormat="1" x14ac:dyDescent="0.2">
      <c r="A129" s="36"/>
      <c r="B129" s="139" t="str">
        <f>'Expenses Summary'!B84</f>
        <v>5820</v>
      </c>
      <c r="C129" s="139" t="str">
        <f>'Expenses Summary'!C84</f>
        <v>Fundraising Expense</v>
      </c>
      <c r="D129" s="64">
        <f>IF('Expenses Summary'!$E84="","",IF('Cash Flow %s Yr2'!D129="","",'Cash Flow %s Yr2'!D129*'Expenses Summary'!$E84))</f>
        <v>0</v>
      </c>
      <c r="E129" s="64">
        <f>IF('Expenses Summary'!$E84="","",IF('Cash Flow %s Yr2'!E129="","",'Cash Flow %s Yr2'!E129*'Expenses Summary'!$E84))</f>
        <v>0</v>
      </c>
      <c r="F129" s="64">
        <f>IF('Expenses Summary'!$E84="","",IF('Cash Flow %s Yr2'!F129="","",'Cash Flow %s Yr2'!F129*'Expenses Summary'!$E84))</f>
        <v>4021.9144000000001</v>
      </c>
      <c r="G129" s="64">
        <f>IF('Expenses Summary'!$E84="","",IF('Cash Flow %s Yr2'!G129="","",'Cash Flow %s Yr2'!G129*'Expenses Summary'!$E84))</f>
        <v>4021.9144000000001</v>
      </c>
      <c r="H129" s="64">
        <f>IF('Expenses Summary'!$E84="","",IF('Cash Flow %s Yr2'!H129="","",'Cash Flow %s Yr2'!H129*'Expenses Summary'!$E84))</f>
        <v>4021.9144000000001</v>
      </c>
      <c r="I129" s="64">
        <f>IF('Expenses Summary'!$E84="","",IF('Cash Flow %s Yr2'!I129="","",'Cash Flow %s Yr2'!I129*'Expenses Summary'!$E84))</f>
        <v>4021.9144000000001</v>
      </c>
      <c r="J129" s="64">
        <f>IF('Expenses Summary'!$E84="","",IF('Cash Flow %s Yr2'!J129="","",'Cash Flow %s Yr2'!J129*'Expenses Summary'!$E84))</f>
        <v>4021.9144000000001</v>
      </c>
      <c r="K129" s="64">
        <f>IF('Expenses Summary'!$E84="","",IF('Cash Flow %s Yr2'!K129="","",'Cash Flow %s Yr2'!K129*'Expenses Summary'!$E84))</f>
        <v>4021.9144000000001</v>
      </c>
      <c r="L129" s="64">
        <f>IF('Expenses Summary'!$E84="","",IF('Cash Flow %s Yr2'!L129="","",'Cash Flow %s Yr2'!L129*'Expenses Summary'!$E84))</f>
        <v>4021.9144000000001</v>
      </c>
      <c r="M129" s="64">
        <f>IF('Expenses Summary'!$E84="","",IF('Cash Flow %s Yr2'!M129="","",'Cash Flow %s Yr2'!M129*'Expenses Summary'!$E84))</f>
        <v>4021.9144000000001</v>
      </c>
      <c r="N129" s="64">
        <f>IF('Expenses Summary'!$E84="","",IF('Cash Flow %s Yr2'!N129="","",'Cash Flow %s Yr2'!N129*'Expenses Summary'!$E84))</f>
        <v>4021.9144000000001</v>
      </c>
      <c r="O129" s="64">
        <f>IF('Expenses Summary'!$E84="","",IF('Cash Flow %s Yr2'!O129="","",'Cash Flow %s Yr2'!O129*'Expenses Summary'!$E84))</f>
        <v>4021.9144000000001</v>
      </c>
      <c r="P129" s="129"/>
      <c r="Q129" s="129"/>
      <c r="R129" s="129"/>
      <c r="S129" s="111">
        <f>IF(SUM(D129:R129)&gt;0,SUM(D129:R129)/'Expenses Summary'!$E84,"")</f>
        <v>1.0000000000000002</v>
      </c>
    </row>
    <row r="130" spans="1:19" s="31" customFormat="1" x14ac:dyDescent="0.2">
      <c r="A130" s="36"/>
      <c r="B130" s="139" t="str">
        <f>'Expenses Summary'!B85</f>
        <v>5875</v>
      </c>
      <c r="C130" s="139" t="str">
        <f>'Expenses Summary'!C85</f>
        <v>District Oversight Fee</v>
      </c>
      <c r="D130" s="64">
        <f>IF('Expenses Summary'!$E85="","",IF('Cash Flow %s Yr2'!D130="","",'Cash Flow %s Yr2'!D130*'Expenses Summary'!$E85))</f>
        <v>2096.2499037117905</v>
      </c>
      <c r="E130" s="64">
        <f>IF('Expenses Summary'!$E85="","",IF('Cash Flow %s Yr2'!E130="","",'Cash Flow %s Yr2'!E130*'Expenses Summary'!$E85))</f>
        <v>0</v>
      </c>
      <c r="F130" s="64">
        <f>IF('Expenses Summary'!$E85="","",IF('Cash Flow %s Yr2'!F130="","",'Cash Flow %s Yr2'!F130*'Expenses Summary'!$E85))</f>
        <v>0</v>
      </c>
      <c r="G130" s="64">
        <f>IF('Expenses Summary'!$E85="","",IF('Cash Flow %s Yr2'!G130="","",'Cash Flow %s Yr2'!G130*'Expenses Summary'!$E85))</f>
        <v>0</v>
      </c>
      <c r="H130" s="64">
        <f>IF('Expenses Summary'!$E85="","",IF('Cash Flow %s Yr2'!H130="","",'Cash Flow %s Yr2'!H130*'Expenses Summary'!$E85))</f>
        <v>1629.2509035258352</v>
      </c>
      <c r="I130" s="64">
        <f>IF('Expenses Summary'!$E85="","",IF('Cash Flow %s Yr2'!I130="","",'Cash Flow %s Yr2'!I130*'Expenses Summary'!$E85))</f>
        <v>0</v>
      </c>
      <c r="J130" s="64">
        <f>IF('Expenses Summary'!$E85="","",IF('Cash Flow %s Yr2'!J130="","",'Cash Flow %s Yr2'!J130*'Expenses Summary'!$E85))</f>
        <v>2558.8968867244107</v>
      </c>
      <c r="K130" s="64">
        <f>IF('Expenses Summary'!$E85="","",IF('Cash Flow %s Yr2'!K130="","",'Cash Flow %s Yr2'!K130*'Expenses Summary'!$E85))</f>
        <v>0</v>
      </c>
      <c r="L130" s="64">
        <f>IF('Expenses Summary'!$E85="","",IF('Cash Flow %s Yr2'!L130="","",'Cash Flow %s Yr2'!L130*'Expenses Summary'!$E85))</f>
        <v>0</v>
      </c>
      <c r="M130" s="64">
        <f>IF('Expenses Summary'!$E85="","",IF('Cash Flow %s Yr2'!M130="","",'Cash Flow %s Yr2'!M130*'Expenses Summary'!$E85))</f>
        <v>2558.8968867244107</v>
      </c>
      <c r="N130" s="64">
        <f>IF('Expenses Summary'!$E85="","",IF('Cash Flow %s Yr2'!N130="","",'Cash Flow %s Yr2'!N130*'Expenses Summary'!$E85))</f>
        <v>0</v>
      </c>
      <c r="O130" s="64">
        <f>IF('Expenses Summary'!$E85="","",IF('Cash Flow %s Yr2'!O130="","",'Cash Flow %s Yr2'!O130*'Expenses Summary'!$E85))</f>
        <v>0</v>
      </c>
      <c r="P130" s="129"/>
      <c r="Q130" s="129"/>
      <c r="R130" s="129"/>
      <c r="S130" s="111">
        <f>IF(SUM(D130:R130)&gt;0,SUM(D130:R130)/'Expenses Summary'!$E85,"")</f>
        <v>0.99999954400000024</v>
      </c>
    </row>
    <row r="131" spans="1:19" s="31" customFormat="1" x14ac:dyDescent="0.2">
      <c r="A131" s="36"/>
      <c r="B131" s="139" t="str">
        <f>'Expenses Summary'!B86</f>
        <v>5890</v>
      </c>
      <c r="C131" s="139" t="str">
        <f>'Expenses Summary'!C86</f>
        <v>Interest Expense / Misc. Fees</v>
      </c>
      <c r="D131" s="64">
        <f>IF('Expenses Summary'!$E86="","",IF('Cash Flow %s Yr2'!D131="","",'Cash Flow %s Yr2'!D131*'Expenses Summary'!$E86))</f>
        <v>23.412641988000001</v>
      </c>
      <c r="E131" s="64">
        <f>IF('Expenses Summary'!$E86="","",IF('Cash Flow %s Yr2'!E131="","",'Cash Flow %s Yr2'!E131*'Expenses Summary'!$E86))</f>
        <v>23.412641988000001</v>
      </c>
      <c r="F131" s="64">
        <f>IF('Expenses Summary'!$E86="","",IF('Cash Flow %s Yr2'!F131="","",'Cash Flow %s Yr2'!F131*'Expenses Summary'!$E86))</f>
        <v>23.412641988000001</v>
      </c>
      <c r="G131" s="64">
        <f>IF('Expenses Summary'!$E86="","",IF('Cash Flow %s Yr2'!G131="","",'Cash Flow %s Yr2'!G131*'Expenses Summary'!$E86))</f>
        <v>23.412641988000001</v>
      </c>
      <c r="H131" s="64">
        <f>IF('Expenses Summary'!$E86="","",IF('Cash Flow %s Yr2'!H131="","",'Cash Flow %s Yr2'!H131*'Expenses Summary'!$E86))</f>
        <v>23.412641988000001</v>
      </c>
      <c r="I131" s="64">
        <f>IF('Expenses Summary'!$E86="","",IF('Cash Flow %s Yr2'!I131="","",'Cash Flow %s Yr2'!I131*'Expenses Summary'!$E86))</f>
        <v>23.412641988000001</v>
      </c>
      <c r="J131" s="64">
        <f>IF('Expenses Summary'!$E86="","",IF('Cash Flow %s Yr2'!J131="","",'Cash Flow %s Yr2'!J131*'Expenses Summary'!$E86))</f>
        <v>23.412641988000001</v>
      </c>
      <c r="K131" s="64">
        <f>IF('Expenses Summary'!$E86="","",IF('Cash Flow %s Yr2'!K131="","",'Cash Flow %s Yr2'!K131*'Expenses Summary'!$E86))</f>
        <v>23.412641988000001</v>
      </c>
      <c r="L131" s="64">
        <f>IF('Expenses Summary'!$E86="","",IF('Cash Flow %s Yr2'!L131="","",'Cash Flow %s Yr2'!L131*'Expenses Summary'!$E86))</f>
        <v>23.412641988000001</v>
      </c>
      <c r="M131" s="64">
        <f>IF('Expenses Summary'!$E86="","",IF('Cash Flow %s Yr2'!M131="","",'Cash Flow %s Yr2'!M131*'Expenses Summary'!$E86))</f>
        <v>23.412641988000001</v>
      </c>
      <c r="N131" s="64">
        <f>IF('Expenses Summary'!$E86="","",IF('Cash Flow %s Yr2'!N131="","",'Cash Flow %s Yr2'!N131*'Expenses Summary'!$E86))</f>
        <v>23.412641988000001</v>
      </c>
      <c r="O131" s="64">
        <f>IF('Expenses Summary'!$E86="","",IF('Cash Flow %s Yr2'!O131="","",'Cash Flow %s Yr2'!O131*'Expenses Summary'!$E86))</f>
        <v>23.428797648000003</v>
      </c>
      <c r="P131" s="129"/>
      <c r="Q131" s="129"/>
      <c r="R131" s="129"/>
      <c r="S131" s="111">
        <f>IF(SUM(D131:R131)&gt;0,SUM(D131:R131)/'Expenses Summary'!$E86,"")</f>
        <v>0.99999949999999982</v>
      </c>
    </row>
    <row r="132" spans="1:19" s="31" customFormat="1" x14ac:dyDescent="0.2">
      <c r="A132" s="36"/>
      <c r="B132" s="139" t="str">
        <f>'Expenses Summary'!B87</f>
        <v>5891</v>
      </c>
      <c r="C132" s="139" t="str">
        <f>'Expenses Summary'!C87</f>
        <v>Charter School Capital Fees</v>
      </c>
      <c r="D132" s="64">
        <f>IF('Expenses Summary'!$E87="","",IF('Cash Flow %s Yr2'!D132="","",'Cash Flow %s Yr2'!D132*'Expenses Summary'!$E87))</f>
        <v>0</v>
      </c>
      <c r="E132" s="64">
        <f>IF('Expenses Summary'!$E87="","",IF('Cash Flow %s Yr2'!E132="","",'Cash Flow %s Yr2'!E132*'Expenses Summary'!$E87))</f>
        <v>0</v>
      </c>
      <c r="F132" s="64">
        <f>IF('Expenses Summary'!$E87="","",IF('Cash Flow %s Yr2'!F132="","",'Cash Flow %s Yr2'!F132*'Expenses Summary'!$E87))</f>
        <v>0</v>
      </c>
      <c r="G132" s="64">
        <f>IF('Expenses Summary'!$E87="","",IF('Cash Flow %s Yr2'!G132="","",'Cash Flow %s Yr2'!G132*'Expenses Summary'!$E87))</f>
        <v>0</v>
      </c>
      <c r="H132" s="64">
        <f>IF('Expenses Summary'!$E87="","",IF('Cash Flow %s Yr2'!H132="","",'Cash Flow %s Yr2'!H132*'Expenses Summary'!$E87))</f>
        <v>0</v>
      </c>
      <c r="I132" s="64">
        <f>IF('Expenses Summary'!$E87="","",IF('Cash Flow %s Yr2'!I132="","",'Cash Flow %s Yr2'!I132*'Expenses Summary'!$E87))</f>
        <v>0</v>
      </c>
      <c r="J132" s="64">
        <f>IF('Expenses Summary'!$E87="","",IF('Cash Flow %s Yr2'!J132="","",'Cash Flow %s Yr2'!J132*'Expenses Summary'!$E87))</f>
        <v>0</v>
      </c>
      <c r="K132" s="64">
        <f>IF('Expenses Summary'!$E87="","",IF('Cash Flow %s Yr2'!K132="","",'Cash Flow %s Yr2'!K132*'Expenses Summary'!$E87))</f>
        <v>0</v>
      </c>
      <c r="L132" s="64">
        <f>IF('Expenses Summary'!$E87="","",IF('Cash Flow %s Yr2'!L132="","",'Cash Flow %s Yr2'!L132*'Expenses Summary'!$E87))</f>
        <v>0</v>
      </c>
      <c r="M132" s="64">
        <f>IF('Expenses Summary'!$E87="","",IF('Cash Flow %s Yr2'!M132="","",'Cash Flow %s Yr2'!M132*'Expenses Summary'!$E87))</f>
        <v>0</v>
      </c>
      <c r="N132" s="64">
        <f>IF('Expenses Summary'!$E87="","",IF('Cash Flow %s Yr2'!N132="","",'Cash Flow %s Yr2'!N132*'Expenses Summary'!$E87))</f>
        <v>0</v>
      </c>
      <c r="O132" s="64">
        <f>IF('Expenses Summary'!$E87="","",IF('Cash Flow %s Yr2'!O132="","",'Cash Flow %s Yr2'!O132*'Expenses Summary'!$E87))</f>
        <v>0</v>
      </c>
      <c r="P132" s="129"/>
      <c r="Q132" s="129"/>
      <c r="R132" s="129"/>
      <c r="S132" s="111" t="str">
        <f>IF(SUM(D132:R132)&gt;0,SUM(D132:R132)/'Expenses Summary'!$E87,"")</f>
        <v/>
      </c>
    </row>
    <row r="133" spans="1:19" s="31" customFormat="1" hidden="1" outlineLevel="1" x14ac:dyDescent="0.2">
      <c r="A133" s="36"/>
      <c r="B133" s="139" t="str">
        <f>'Expenses Summary'!B88</f>
        <v>5899</v>
      </c>
      <c r="C133" s="139" t="str">
        <f>'Expenses Summary'!C88</f>
        <v>CMO Management Fee</v>
      </c>
      <c r="D133" s="64">
        <f>IF('Expenses Summary'!$E88="","",IF('Cash Flow %s Yr2'!D133="","",'Cash Flow %s Yr2'!D133*'Expenses Summary'!$E88))</f>
        <v>0</v>
      </c>
      <c r="E133" s="64">
        <f>IF('Expenses Summary'!$E88="","",IF('Cash Flow %s Yr2'!E133="","",'Cash Flow %s Yr2'!E133*'Expenses Summary'!$E88))</f>
        <v>0</v>
      </c>
      <c r="F133" s="64">
        <f>IF('Expenses Summary'!$E88="","",IF('Cash Flow %s Yr2'!F133="","",'Cash Flow %s Yr2'!F133*'Expenses Summary'!$E88))</f>
        <v>0</v>
      </c>
      <c r="G133" s="64">
        <f>IF('Expenses Summary'!$E88="","",IF('Cash Flow %s Yr2'!G133="","",'Cash Flow %s Yr2'!G133*'Expenses Summary'!$E88))</f>
        <v>0</v>
      </c>
      <c r="H133" s="64">
        <f>IF('Expenses Summary'!$E88="","",IF('Cash Flow %s Yr2'!H133="","",'Cash Flow %s Yr2'!H133*'Expenses Summary'!$E88))</f>
        <v>0</v>
      </c>
      <c r="I133" s="64">
        <f>IF('Expenses Summary'!$E88="","",IF('Cash Flow %s Yr2'!I133="","",'Cash Flow %s Yr2'!I133*'Expenses Summary'!$E88))</f>
        <v>0</v>
      </c>
      <c r="J133" s="64">
        <f>IF('Expenses Summary'!$E88="","",IF('Cash Flow %s Yr2'!J133="","",'Cash Flow %s Yr2'!J133*'Expenses Summary'!$E88))</f>
        <v>0</v>
      </c>
      <c r="K133" s="64">
        <f>IF('Expenses Summary'!$E88="","",IF('Cash Flow %s Yr2'!K133="","",'Cash Flow %s Yr2'!K133*'Expenses Summary'!$E88))</f>
        <v>0</v>
      </c>
      <c r="L133" s="64">
        <f>IF('Expenses Summary'!$E88="","",IF('Cash Flow %s Yr2'!L133="","",'Cash Flow %s Yr2'!L133*'Expenses Summary'!$E88))</f>
        <v>0</v>
      </c>
      <c r="M133" s="64">
        <f>IF('Expenses Summary'!$E88="","",IF('Cash Flow %s Yr2'!M133="","",'Cash Flow %s Yr2'!M133*'Expenses Summary'!$E88))</f>
        <v>0</v>
      </c>
      <c r="N133" s="64">
        <f>IF('Expenses Summary'!$E88="","",IF('Cash Flow %s Yr2'!N133="","",'Cash Flow %s Yr2'!N133*'Expenses Summary'!$E88))</f>
        <v>0</v>
      </c>
      <c r="O133" s="64">
        <f>IF('Expenses Summary'!$E88="","",IF('Cash Flow %s Yr2'!O133="","",'Cash Flow %s Yr2'!O133*'Expenses Summary'!$E88))</f>
        <v>0</v>
      </c>
      <c r="P133" s="129"/>
      <c r="Q133" s="129"/>
      <c r="R133" s="129"/>
      <c r="S133" s="111"/>
    </row>
    <row r="134" spans="1:19" s="31" customFormat="1" hidden="1" outlineLevel="1" x14ac:dyDescent="0.2">
      <c r="A134" s="36"/>
      <c r="B134" s="139" t="str">
        <f>'Expenses Summary'!B89</f>
        <v>5900</v>
      </c>
      <c r="C134" s="139" t="str">
        <f>'Expenses Summary'!C89</f>
        <v>Communications</v>
      </c>
      <c r="D134" s="64">
        <f>IF('Expenses Summary'!$E89="","",IF('Cash Flow %s Yr2'!D134="","",'Cash Flow %s Yr2'!D134*'Expenses Summary'!$E89))</f>
        <v>0</v>
      </c>
      <c r="E134" s="64">
        <f>IF('Expenses Summary'!$E89="","",IF('Cash Flow %s Yr2'!E134="","",'Cash Flow %s Yr2'!E134*'Expenses Summary'!$E89))</f>
        <v>0</v>
      </c>
      <c r="F134" s="64">
        <f>IF('Expenses Summary'!$E89="","",IF('Cash Flow %s Yr2'!F134="","",'Cash Flow %s Yr2'!F134*'Expenses Summary'!$E89))</f>
        <v>387.65440000000001</v>
      </c>
      <c r="G134" s="64">
        <f>IF('Expenses Summary'!$E89="","",IF('Cash Flow %s Yr2'!G134="","",'Cash Flow %s Yr2'!G134*'Expenses Summary'!$E89))</f>
        <v>387.65440000000001</v>
      </c>
      <c r="H134" s="64">
        <f>IF('Expenses Summary'!$E89="","",IF('Cash Flow %s Yr2'!H134="","",'Cash Flow %s Yr2'!H134*'Expenses Summary'!$E89))</f>
        <v>387.65440000000001</v>
      </c>
      <c r="I134" s="64">
        <f>IF('Expenses Summary'!$E89="","",IF('Cash Flow %s Yr2'!I134="","",'Cash Flow %s Yr2'!I134*'Expenses Summary'!$E89))</f>
        <v>387.65440000000001</v>
      </c>
      <c r="J134" s="64">
        <f>IF('Expenses Summary'!$E89="","",IF('Cash Flow %s Yr2'!J134="","",'Cash Flow %s Yr2'!J134*'Expenses Summary'!$E89))</f>
        <v>387.65440000000001</v>
      </c>
      <c r="K134" s="64">
        <f>IF('Expenses Summary'!$E89="","",IF('Cash Flow %s Yr2'!K134="","",'Cash Flow %s Yr2'!K134*'Expenses Summary'!$E89))</f>
        <v>387.65440000000001</v>
      </c>
      <c r="L134" s="64">
        <f>IF('Expenses Summary'!$E89="","",IF('Cash Flow %s Yr2'!L134="","",'Cash Flow %s Yr2'!L134*'Expenses Summary'!$E89))</f>
        <v>387.65440000000001</v>
      </c>
      <c r="M134" s="64">
        <f>IF('Expenses Summary'!$E89="","",IF('Cash Flow %s Yr2'!M134="","",'Cash Flow %s Yr2'!M134*'Expenses Summary'!$E89))</f>
        <v>387.65440000000001</v>
      </c>
      <c r="N134" s="64">
        <f>IF('Expenses Summary'!$E89="","",IF('Cash Flow %s Yr2'!N134="","",'Cash Flow %s Yr2'!N134*'Expenses Summary'!$E89))</f>
        <v>387.65440000000001</v>
      </c>
      <c r="O134" s="64">
        <f>IF('Expenses Summary'!$E89="","",IF('Cash Flow %s Yr2'!O134="","",'Cash Flow %s Yr2'!O134*'Expenses Summary'!$E89))</f>
        <v>387.65440000000001</v>
      </c>
      <c r="P134" s="129"/>
      <c r="Q134" s="129"/>
      <c r="R134" s="129"/>
      <c r="S134" s="111"/>
    </row>
    <row r="135" spans="1:19" s="31" customFormat="1" hidden="1" outlineLevel="1" x14ac:dyDescent="0.2">
      <c r="A135" s="36"/>
      <c r="B135" s="139">
        <f>'Expenses Summary'!B90</f>
        <v>0</v>
      </c>
      <c r="C135" s="139">
        <f>'Expenses Summary'!C90</f>
        <v>0</v>
      </c>
      <c r="D135" s="64" t="str">
        <f>IF('Expenses Summary'!$E90="","",IF('Cash Flow %s Yr2'!D135="","",'Cash Flow %s Yr2'!D135*'Expenses Summary'!$E90))</f>
        <v/>
      </c>
      <c r="E135" s="64" t="str">
        <f>IF('Expenses Summary'!$E90="","",IF('Cash Flow %s Yr2'!E135="","",'Cash Flow %s Yr2'!E135*'Expenses Summary'!$E90))</f>
        <v/>
      </c>
      <c r="F135" s="64" t="str">
        <f>IF('Expenses Summary'!$E90="","",IF('Cash Flow %s Yr2'!F135="","",'Cash Flow %s Yr2'!F135*'Expenses Summary'!$E90))</f>
        <v/>
      </c>
      <c r="G135" s="64" t="str">
        <f>IF('Expenses Summary'!$E90="","",IF('Cash Flow %s Yr2'!G135="","",'Cash Flow %s Yr2'!G135*'Expenses Summary'!$E90))</f>
        <v/>
      </c>
      <c r="H135" s="64" t="str">
        <f>IF('Expenses Summary'!$E90="","",IF('Cash Flow %s Yr2'!H135="","",'Cash Flow %s Yr2'!H135*'Expenses Summary'!$E90))</f>
        <v/>
      </c>
      <c r="I135" s="64" t="str">
        <f>IF('Expenses Summary'!$E90="","",IF('Cash Flow %s Yr2'!I135="","",'Cash Flow %s Yr2'!I135*'Expenses Summary'!$E90))</f>
        <v/>
      </c>
      <c r="J135" s="64" t="str">
        <f>IF('Expenses Summary'!$E90="","",IF('Cash Flow %s Yr2'!J135="","",'Cash Flow %s Yr2'!J135*'Expenses Summary'!$E90))</f>
        <v/>
      </c>
      <c r="K135" s="64" t="str">
        <f>IF('Expenses Summary'!$E90="","",IF('Cash Flow %s Yr2'!K135="","",'Cash Flow %s Yr2'!K135*'Expenses Summary'!$E90))</f>
        <v/>
      </c>
      <c r="L135" s="64" t="str">
        <f>IF('Expenses Summary'!$E90="","",IF('Cash Flow %s Yr2'!L135="","",'Cash Flow %s Yr2'!L135*'Expenses Summary'!$E90))</f>
        <v/>
      </c>
      <c r="M135" s="64" t="str">
        <f>IF('Expenses Summary'!$E90="","",IF('Cash Flow %s Yr2'!M135="","",'Cash Flow %s Yr2'!M135*'Expenses Summary'!$E90))</f>
        <v/>
      </c>
      <c r="N135" s="64" t="str">
        <f>IF('Expenses Summary'!$E90="","",IF('Cash Flow %s Yr2'!N135="","",'Cash Flow %s Yr2'!N135*'Expenses Summary'!$E90))</f>
        <v/>
      </c>
      <c r="O135" s="64" t="str">
        <f>IF('Expenses Summary'!$E90="","",IF('Cash Flow %s Yr2'!O135="","",'Cash Flow %s Yr2'!O135*'Expenses Summary'!$E90))</f>
        <v/>
      </c>
      <c r="P135" s="129"/>
      <c r="Q135" s="129"/>
      <c r="R135" s="129"/>
      <c r="S135" s="111"/>
    </row>
    <row r="136" spans="1:19" s="31" customFormat="1" hidden="1" outlineLevel="1" x14ac:dyDescent="0.2">
      <c r="A136" s="36"/>
      <c r="B136" s="139">
        <f>'Expenses Summary'!B91</f>
        <v>0</v>
      </c>
      <c r="C136" s="139">
        <f>'Expenses Summary'!C91</f>
        <v>0</v>
      </c>
      <c r="D136" s="64" t="str">
        <f>IF('Expenses Summary'!$E91="","",IF('Cash Flow %s Yr2'!D136="","",'Cash Flow %s Yr2'!D136*'Expenses Summary'!$E91))</f>
        <v/>
      </c>
      <c r="E136" s="64" t="str">
        <f>IF('Expenses Summary'!$E91="","",IF('Cash Flow %s Yr2'!E136="","",'Cash Flow %s Yr2'!E136*'Expenses Summary'!$E91))</f>
        <v/>
      </c>
      <c r="F136" s="64" t="str">
        <f>IF('Expenses Summary'!$E91="","",IF('Cash Flow %s Yr2'!F136="","",'Cash Flow %s Yr2'!F136*'Expenses Summary'!$E91))</f>
        <v/>
      </c>
      <c r="G136" s="64" t="str">
        <f>IF('Expenses Summary'!$E91="","",IF('Cash Flow %s Yr2'!G136="","",'Cash Flow %s Yr2'!G136*'Expenses Summary'!$E91))</f>
        <v/>
      </c>
      <c r="H136" s="64" t="str">
        <f>IF('Expenses Summary'!$E91="","",IF('Cash Flow %s Yr2'!H136="","",'Cash Flow %s Yr2'!H136*'Expenses Summary'!$E91))</f>
        <v/>
      </c>
      <c r="I136" s="64" t="str">
        <f>IF('Expenses Summary'!$E91="","",IF('Cash Flow %s Yr2'!I136="","",'Cash Flow %s Yr2'!I136*'Expenses Summary'!$E91))</f>
        <v/>
      </c>
      <c r="J136" s="64" t="str">
        <f>IF('Expenses Summary'!$E91="","",IF('Cash Flow %s Yr2'!J136="","",'Cash Flow %s Yr2'!J136*'Expenses Summary'!$E91))</f>
        <v/>
      </c>
      <c r="K136" s="64" t="str">
        <f>IF('Expenses Summary'!$E91="","",IF('Cash Flow %s Yr2'!K136="","",'Cash Flow %s Yr2'!K136*'Expenses Summary'!$E91))</f>
        <v/>
      </c>
      <c r="L136" s="64" t="str">
        <f>IF('Expenses Summary'!$E91="","",IF('Cash Flow %s Yr2'!L136="","",'Cash Flow %s Yr2'!L136*'Expenses Summary'!$E91))</f>
        <v/>
      </c>
      <c r="M136" s="64" t="str">
        <f>IF('Expenses Summary'!$E91="","",IF('Cash Flow %s Yr2'!M136="","",'Cash Flow %s Yr2'!M136*'Expenses Summary'!$E91))</f>
        <v/>
      </c>
      <c r="N136" s="64" t="str">
        <f>IF('Expenses Summary'!$E91="","",IF('Cash Flow %s Yr2'!N136="","",'Cash Flow %s Yr2'!N136*'Expenses Summary'!$E91))</f>
        <v/>
      </c>
      <c r="O136" s="64" t="str">
        <f>IF('Expenses Summary'!$E91="","",IF('Cash Flow %s Yr2'!O136="","",'Cash Flow %s Yr2'!O136*'Expenses Summary'!$E91))</f>
        <v/>
      </c>
      <c r="P136" s="129"/>
      <c r="Q136" s="129"/>
      <c r="R136" s="129"/>
      <c r="S136" s="111"/>
    </row>
    <row r="137" spans="1:19" s="31" customFormat="1" hidden="1" outlineLevel="1" x14ac:dyDescent="0.2">
      <c r="A137" s="36"/>
      <c r="B137" s="139">
        <f>'Expenses Summary'!B92</f>
        <v>0</v>
      </c>
      <c r="C137" s="139">
        <f>'Expenses Summary'!C92</f>
        <v>0</v>
      </c>
      <c r="D137" s="64" t="str">
        <f>IF('Expenses Summary'!$E92="","",IF('Cash Flow %s Yr2'!D137="","",'Cash Flow %s Yr2'!D137*'Expenses Summary'!$E92))</f>
        <v/>
      </c>
      <c r="E137" s="64" t="str">
        <f>IF('Expenses Summary'!$E92="","",IF('Cash Flow %s Yr2'!E137="","",'Cash Flow %s Yr2'!E137*'Expenses Summary'!$E92))</f>
        <v/>
      </c>
      <c r="F137" s="64" t="str">
        <f>IF('Expenses Summary'!$E92="","",IF('Cash Flow %s Yr2'!F137="","",'Cash Flow %s Yr2'!F137*'Expenses Summary'!$E92))</f>
        <v/>
      </c>
      <c r="G137" s="64" t="str">
        <f>IF('Expenses Summary'!$E92="","",IF('Cash Flow %s Yr2'!G137="","",'Cash Flow %s Yr2'!G137*'Expenses Summary'!$E92))</f>
        <v/>
      </c>
      <c r="H137" s="64" t="str">
        <f>IF('Expenses Summary'!$E92="","",IF('Cash Flow %s Yr2'!H137="","",'Cash Flow %s Yr2'!H137*'Expenses Summary'!$E92))</f>
        <v/>
      </c>
      <c r="I137" s="64" t="str">
        <f>IF('Expenses Summary'!$E92="","",IF('Cash Flow %s Yr2'!I137="","",'Cash Flow %s Yr2'!I137*'Expenses Summary'!$E92))</f>
        <v/>
      </c>
      <c r="J137" s="64" t="str">
        <f>IF('Expenses Summary'!$E92="","",IF('Cash Flow %s Yr2'!J137="","",'Cash Flow %s Yr2'!J137*'Expenses Summary'!$E92))</f>
        <v/>
      </c>
      <c r="K137" s="64" t="str">
        <f>IF('Expenses Summary'!$E92="","",IF('Cash Flow %s Yr2'!K137="","",'Cash Flow %s Yr2'!K137*'Expenses Summary'!$E92))</f>
        <v/>
      </c>
      <c r="L137" s="64" t="str">
        <f>IF('Expenses Summary'!$E92="","",IF('Cash Flow %s Yr2'!L137="","",'Cash Flow %s Yr2'!L137*'Expenses Summary'!$E92))</f>
        <v/>
      </c>
      <c r="M137" s="64" t="str">
        <f>IF('Expenses Summary'!$E92="","",IF('Cash Flow %s Yr2'!M137="","",'Cash Flow %s Yr2'!M137*'Expenses Summary'!$E92))</f>
        <v/>
      </c>
      <c r="N137" s="64" t="str">
        <f>IF('Expenses Summary'!$E92="","",IF('Cash Flow %s Yr2'!N137="","",'Cash Flow %s Yr2'!N137*'Expenses Summary'!$E92))</f>
        <v/>
      </c>
      <c r="O137" s="64" t="str">
        <f>IF('Expenses Summary'!$E92="","",IF('Cash Flow %s Yr2'!O137="","",'Cash Flow %s Yr2'!O137*'Expenses Summary'!$E92))</f>
        <v/>
      </c>
      <c r="P137" s="129"/>
      <c r="Q137" s="129"/>
      <c r="R137" s="129"/>
      <c r="S137" s="111"/>
    </row>
    <row r="138" spans="1:19" s="31" customFormat="1" hidden="1" outlineLevel="1" x14ac:dyDescent="0.2">
      <c r="A138" s="36"/>
      <c r="B138" s="139">
        <f>'Expenses Summary'!B93</f>
        <v>0</v>
      </c>
      <c r="C138" s="139">
        <f>'Expenses Summary'!C93</f>
        <v>0</v>
      </c>
      <c r="D138" s="64" t="str">
        <f>IF('Expenses Summary'!$E93="","",IF('Cash Flow %s Yr2'!D138="","",'Cash Flow %s Yr2'!D138*'Expenses Summary'!$E93))</f>
        <v/>
      </c>
      <c r="E138" s="64" t="str">
        <f>IF('Expenses Summary'!$E93="","",IF('Cash Flow %s Yr2'!E138="","",'Cash Flow %s Yr2'!E138*'Expenses Summary'!$E93))</f>
        <v/>
      </c>
      <c r="F138" s="64" t="str">
        <f>IF('Expenses Summary'!$E93="","",IF('Cash Flow %s Yr2'!F138="","",'Cash Flow %s Yr2'!F138*'Expenses Summary'!$E93))</f>
        <v/>
      </c>
      <c r="G138" s="64" t="str">
        <f>IF('Expenses Summary'!$E93="","",IF('Cash Flow %s Yr2'!G138="","",'Cash Flow %s Yr2'!G138*'Expenses Summary'!$E93))</f>
        <v/>
      </c>
      <c r="H138" s="64" t="str">
        <f>IF('Expenses Summary'!$E93="","",IF('Cash Flow %s Yr2'!H138="","",'Cash Flow %s Yr2'!H138*'Expenses Summary'!$E93))</f>
        <v/>
      </c>
      <c r="I138" s="64" t="str">
        <f>IF('Expenses Summary'!$E93="","",IF('Cash Flow %s Yr2'!I138="","",'Cash Flow %s Yr2'!I138*'Expenses Summary'!$E93))</f>
        <v/>
      </c>
      <c r="J138" s="64" t="str">
        <f>IF('Expenses Summary'!$E93="","",IF('Cash Flow %s Yr2'!J138="","",'Cash Flow %s Yr2'!J138*'Expenses Summary'!$E93))</f>
        <v/>
      </c>
      <c r="K138" s="64" t="str">
        <f>IF('Expenses Summary'!$E93="","",IF('Cash Flow %s Yr2'!K138="","",'Cash Flow %s Yr2'!K138*'Expenses Summary'!$E93))</f>
        <v/>
      </c>
      <c r="L138" s="64" t="str">
        <f>IF('Expenses Summary'!$E93="","",IF('Cash Flow %s Yr2'!L138="","",'Cash Flow %s Yr2'!L138*'Expenses Summary'!$E93))</f>
        <v/>
      </c>
      <c r="M138" s="64" t="str">
        <f>IF('Expenses Summary'!$E93="","",IF('Cash Flow %s Yr2'!M138="","",'Cash Flow %s Yr2'!M138*'Expenses Summary'!$E93))</f>
        <v/>
      </c>
      <c r="N138" s="64" t="str">
        <f>IF('Expenses Summary'!$E93="","",IF('Cash Flow %s Yr2'!N138="","",'Cash Flow %s Yr2'!N138*'Expenses Summary'!$E93))</f>
        <v/>
      </c>
      <c r="O138" s="64" t="str">
        <f>IF('Expenses Summary'!$E93="","",IF('Cash Flow %s Yr2'!O138="","",'Cash Flow %s Yr2'!O138*'Expenses Summary'!$E93))</f>
        <v/>
      </c>
      <c r="P138" s="129"/>
      <c r="Q138" s="129"/>
      <c r="R138" s="129"/>
      <c r="S138" s="111"/>
    </row>
    <row r="139" spans="1:19" s="31" customFormat="1" hidden="1" outlineLevel="1" x14ac:dyDescent="0.2">
      <c r="A139" s="36"/>
      <c r="B139" s="139">
        <f>'Expenses Summary'!B94</f>
        <v>0</v>
      </c>
      <c r="C139" s="139">
        <f>'Expenses Summary'!C94</f>
        <v>0</v>
      </c>
      <c r="D139" s="64" t="str">
        <f>IF('Expenses Summary'!$E94="","",IF('Cash Flow %s Yr2'!D139="","",'Cash Flow %s Yr2'!D139*'Expenses Summary'!$E94))</f>
        <v/>
      </c>
      <c r="E139" s="64" t="str">
        <f>IF('Expenses Summary'!$E94="","",IF('Cash Flow %s Yr2'!E139="","",'Cash Flow %s Yr2'!E139*'Expenses Summary'!$E94))</f>
        <v/>
      </c>
      <c r="F139" s="64" t="str">
        <f>IF('Expenses Summary'!$E94="","",IF('Cash Flow %s Yr2'!F139="","",'Cash Flow %s Yr2'!F139*'Expenses Summary'!$E94))</f>
        <v/>
      </c>
      <c r="G139" s="64" t="str">
        <f>IF('Expenses Summary'!$E94="","",IF('Cash Flow %s Yr2'!G139="","",'Cash Flow %s Yr2'!G139*'Expenses Summary'!$E94))</f>
        <v/>
      </c>
      <c r="H139" s="64" t="str">
        <f>IF('Expenses Summary'!$E94="","",IF('Cash Flow %s Yr2'!H139="","",'Cash Flow %s Yr2'!H139*'Expenses Summary'!$E94))</f>
        <v/>
      </c>
      <c r="I139" s="64" t="str">
        <f>IF('Expenses Summary'!$E94="","",IF('Cash Flow %s Yr2'!I139="","",'Cash Flow %s Yr2'!I139*'Expenses Summary'!$E94))</f>
        <v/>
      </c>
      <c r="J139" s="64" t="str">
        <f>IF('Expenses Summary'!$E94="","",IF('Cash Flow %s Yr2'!J139="","",'Cash Flow %s Yr2'!J139*'Expenses Summary'!$E94))</f>
        <v/>
      </c>
      <c r="K139" s="64" t="str">
        <f>IF('Expenses Summary'!$E94="","",IF('Cash Flow %s Yr2'!K139="","",'Cash Flow %s Yr2'!K139*'Expenses Summary'!$E94))</f>
        <v/>
      </c>
      <c r="L139" s="64" t="str">
        <f>IF('Expenses Summary'!$E94="","",IF('Cash Flow %s Yr2'!L139="","",'Cash Flow %s Yr2'!L139*'Expenses Summary'!$E94))</f>
        <v/>
      </c>
      <c r="M139" s="64" t="str">
        <f>IF('Expenses Summary'!$E94="","",IF('Cash Flow %s Yr2'!M139="","",'Cash Flow %s Yr2'!M139*'Expenses Summary'!$E94))</f>
        <v/>
      </c>
      <c r="N139" s="64" t="str">
        <f>IF('Expenses Summary'!$E94="","",IF('Cash Flow %s Yr2'!N139="","",'Cash Flow %s Yr2'!N139*'Expenses Summary'!$E94))</f>
        <v/>
      </c>
      <c r="O139" s="64" t="str">
        <f>IF('Expenses Summary'!$E94="","",IF('Cash Flow %s Yr2'!O139="","",'Cash Flow %s Yr2'!O139*'Expenses Summary'!$E94))</f>
        <v/>
      </c>
      <c r="P139" s="129"/>
      <c r="Q139" s="129"/>
      <c r="R139" s="129"/>
      <c r="S139" s="111"/>
    </row>
    <row r="140" spans="1:19" s="31" customFormat="1" hidden="1" outlineLevel="1" x14ac:dyDescent="0.2">
      <c r="A140" s="36"/>
      <c r="B140" s="139">
        <f>'Expenses Summary'!B95</f>
        <v>0</v>
      </c>
      <c r="C140" s="139">
        <f>'Expenses Summary'!C95</f>
        <v>0</v>
      </c>
      <c r="D140" s="64" t="str">
        <f>IF('Expenses Summary'!$E95="","",IF('Cash Flow %s Yr2'!D140="","",'Cash Flow %s Yr2'!D140*'Expenses Summary'!$E95))</f>
        <v/>
      </c>
      <c r="E140" s="64" t="str">
        <f>IF('Expenses Summary'!$E95="","",IF('Cash Flow %s Yr2'!E140="","",'Cash Flow %s Yr2'!E140*'Expenses Summary'!$E95))</f>
        <v/>
      </c>
      <c r="F140" s="64" t="str">
        <f>IF('Expenses Summary'!$E95="","",IF('Cash Flow %s Yr2'!F140="","",'Cash Flow %s Yr2'!F140*'Expenses Summary'!$E95))</f>
        <v/>
      </c>
      <c r="G140" s="64" t="str">
        <f>IF('Expenses Summary'!$E95="","",IF('Cash Flow %s Yr2'!G140="","",'Cash Flow %s Yr2'!G140*'Expenses Summary'!$E95))</f>
        <v/>
      </c>
      <c r="H140" s="64" t="str">
        <f>IF('Expenses Summary'!$E95="","",IF('Cash Flow %s Yr2'!H140="","",'Cash Flow %s Yr2'!H140*'Expenses Summary'!$E95))</f>
        <v/>
      </c>
      <c r="I140" s="64" t="str">
        <f>IF('Expenses Summary'!$E95="","",IF('Cash Flow %s Yr2'!I140="","",'Cash Flow %s Yr2'!I140*'Expenses Summary'!$E95))</f>
        <v/>
      </c>
      <c r="J140" s="64" t="str">
        <f>IF('Expenses Summary'!$E95="","",IF('Cash Flow %s Yr2'!J140="","",'Cash Flow %s Yr2'!J140*'Expenses Summary'!$E95))</f>
        <v/>
      </c>
      <c r="K140" s="64" t="str">
        <f>IF('Expenses Summary'!$E95="","",IF('Cash Flow %s Yr2'!K140="","",'Cash Flow %s Yr2'!K140*'Expenses Summary'!$E95))</f>
        <v/>
      </c>
      <c r="L140" s="64" t="str">
        <f>IF('Expenses Summary'!$E95="","",IF('Cash Flow %s Yr2'!L140="","",'Cash Flow %s Yr2'!L140*'Expenses Summary'!$E95))</f>
        <v/>
      </c>
      <c r="M140" s="64" t="str">
        <f>IF('Expenses Summary'!$E95="","",IF('Cash Flow %s Yr2'!M140="","",'Cash Flow %s Yr2'!M140*'Expenses Summary'!$E95))</f>
        <v/>
      </c>
      <c r="N140" s="64" t="str">
        <f>IF('Expenses Summary'!$E95="","",IF('Cash Flow %s Yr2'!N140="","",'Cash Flow %s Yr2'!N140*'Expenses Summary'!$E95))</f>
        <v/>
      </c>
      <c r="O140" s="64" t="str">
        <f>IF('Expenses Summary'!$E95="","",IF('Cash Flow %s Yr2'!O140="","",'Cash Flow %s Yr2'!O140*'Expenses Summary'!$E95))</f>
        <v/>
      </c>
      <c r="P140" s="129"/>
      <c r="Q140" s="129"/>
      <c r="R140" s="129"/>
      <c r="S140" s="111"/>
    </row>
    <row r="141" spans="1:19" s="31" customFormat="1" hidden="1" outlineLevel="1" x14ac:dyDescent="0.2">
      <c r="A141" s="36"/>
      <c r="B141" s="139">
        <f>'Expenses Summary'!B96</f>
        <v>0</v>
      </c>
      <c r="C141" s="139">
        <f>'Expenses Summary'!C96</f>
        <v>0</v>
      </c>
      <c r="D141" s="64" t="str">
        <f>IF('Expenses Summary'!$E96="","",IF('Cash Flow %s Yr2'!D141="","",'Cash Flow %s Yr2'!D141*'Expenses Summary'!$E96))</f>
        <v/>
      </c>
      <c r="E141" s="64" t="str">
        <f>IF('Expenses Summary'!$E96="","",IF('Cash Flow %s Yr2'!E141="","",'Cash Flow %s Yr2'!E141*'Expenses Summary'!$E96))</f>
        <v/>
      </c>
      <c r="F141" s="64" t="str">
        <f>IF('Expenses Summary'!$E96="","",IF('Cash Flow %s Yr2'!F141="","",'Cash Flow %s Yr2'!F141*'Expenses Summary'!$E96))</f>
        <v/>
      </c>
      <c r="G141" s="64" t="str">
        <f>IF('Expenses Summary'!$E96="","",IF('Cash Flow %s Yr2'!G141="","",'Cash Flow %s Yr2'!G141*'Expenses Summary'!$E96))</f>
        <v/>
      </c>
      <c r="H141" s="64" t="str">
        <f>IF('Expenses Summary'!$E96="","",IF('Cash Flow %s Yr2'!H141="","",'Cash Flow %s Yr2'!H141*'Expenses Summary'!$E96))</f>
        <v/>
      </c>
      <c r="I141" s="64" t="str">
        <f>IF('Expenses Summary'!$E96="","",IF('Cash Flow %s Yr2'!I141="","",'Cash Flow %s Yr2'!I141*'Expenses Summary'!$E96))</f>
        <v/>
      </c>
      <c r="J141" s="64" t="str">
        <f>IF('Expenses Summary'!$E96="","",IF('Cash Flow %s Yr2'!J141="","",'Cash Flow %s Yr2'!J141*'Expenses Summary'!$E96))</f>
        <v/>
      </c>
      <c r="K141" s="64" t="str">
        <f>IF('Expenses Summary'!$E96="","",IF('Cash Flow %s Yr2'!K141="","",'Cash Flow %s Yr2'!K141*'Expenses Summary'!$E96))</f>
        <v/>
      </c>
      <c r="L141" s="64" t="str">
        <f>IF('Expenses Summary'!$E96="","",IF('Cash Flow %s Yr2'!L141="","",'Cash Flow %s Yr2'!L141*'Expenses Summary'!$E96))</f>
        <v/>
      </c>
      <c r="M141" s="64" t="str">
        <f>IF('Expenses Summary'!$E96="","",IF('Cash Flow %s Yr2'!M141="","",'Cash Flow %s Yr2'!M141*'Expenses Summary'!$E96))</f>
        <v/>
      </c>
      <c r="N141" s="64" t="str">
        <f>IF('Expenses Summary'!$E96="","",IF('Cash Flow %s Yr2'!N141="","",'Cash Flow %s Yr2'!N141*'Expenses Summary'!$E96))</f>
        <v/>
      </c>
      <c r="O141" s="64" t="str">
        <f>IF('Expenses Summary'!$E96="","",IF('Cash Flow %s Yr2'!O141="","",'Cash Flow %s Yr2'!O141*'Expenses Summary'!$E96))</f>
        <v/>
      </c>
      <c r="P141" s="129"/>
      <c r="Q141" s="129"/>
      <c r="R141" s="129"/>
      <c r="S141" s="111"/>
    </row>
    <row r="142" spans="1:19" s="31" customFormat="1" hidden="1" outlineLevel="1" x14ac:dyDescent="0.2">
      <c r="A142" s="36"/>
      <c r="B142" s="139">
        <f>'Expenses Summary'!B97</f>
        <v>0</v>
      </c>
      <c r="C142" s="139">
        <f>'Expenses Summary'!C97</f>
        <v>0</v>
      </c>
      <c r="D142" s="64" t="str">
        <f>IF('Expenses Summary'!$E97="","",IF('Cash Flow %s Yr2'!D142="","",'Cash Flow %s Yr2'!D142*'Expenses Summary'!$E97))</f>
        <v/>
      </c>
      <c r="E142" s="64" t="str">
        <f>IF('Expenses Summary'!$E97="","",IF('Cash Flow %s Yr2'!E142="","",'Cash Flow %s Yr2'!E142*'Expenses Summary'!$E97))</f>
        <v/>
      </c>
      <c r="F142" s="64" t="str">
        <f>IF('Expenses Summary'!$E97="","",IF('Cash Flow %s Yr2'!F142="","",'Cash Flow %s Yr2'!F142*'Expenses Summary'!$E97))</f>
        <v/>
      </c>
      <c r="G142" s="64" t="str">
        <f>IF('Expenses Summary'!$E97="","",IF('Cash Flow %s Yr2'!G142="","",'Cash Flow %s Yr2'!G142*'Expenses Summary'!$E97))</f>
        <v/>
      </c>
      <c r="H142" s="64" t="str">
        <f>IF('Expenses Summary'!$E97="","",IF('Cash Flow %s Yr2'!H142="","",'Cash Flow %s Yr2'!H142*'Expenses Summary'!$E97))</f>
        <v/>
      </c>
      <c r="I142" s="64" t="str">
        <f>IF('Expenses Summary'!$E97="","",IF('Cash Flow %s Yr2'!I142="","",'Cash Flow %s Yr2'!I142*'Expenses Summary'!$E97))</f>
        <v/>
      </c>
      <c r="J142" s="64" t="str">
        <f>IF('Expenses Summary'!$E97="","",IF('Cash Flow %s Yr2'!J142="","",'Cash Flow %s Yr2'!J142*'Expenses Summary'!$E97))</f>
        <v/>
      </c>
      <c r="K142" s="64" t="str">
        <f>IF('Expenses Summary'!$E97="","",IF('Cash Flow %s Yr2'!K142="","",'Cash Flow %s Yr2'!K142*'Expenses Summary'!$E97))</f>
        <v/>
      </c>
      <c r="L142" s="64" t="str">
        <f>IF('Expenses Summary'!$E97="","",IF('Cash Flow %s Yr2'!L142="","",'Cash Flow %s Yr2'!L142*'Expenses Summary'!$E97))</f>
        <v/>
      </c>
      <c r="M142" s="64" t="str">
        <f>IF('Expenses Summary'!$E97="","",IF('Cash Flow %s Yr2'!M142="","",'Cash Flow %s Yr2'!M142*'Expenses Summary'!$E97))</f>
        <v/>
      </c>
      <c r="N142" s="64" t="str">
        <f>IF('Expenses Summary'!$E97="","",IF('Cash Flow %s Yr2'!N142="","",'Cash Flow %s Yr2'!N142*'Expenses Summary'!$E97))</f>
        <v/>
      </c>
      <c r="O142" s="64" t="str">
        <f>IF('Expenses Summary'!$E97="","",IF('Cash Flow %s Yr2'!O142="","",'Cash Flow %s Yr2'!O142*'Expenses Summary'!$E97))</f>
        <v/>
      </c>
      <c r="P142" s="129"/>
      <c r="Q142" s="129"/>
      <c r="R142" s="129"/>
      <c r="S142" s="111" t="str">
        <f>IF(SUM(D142:R142)&gt;0,SUM(D142:R142)/'Expenses Summary'!$E97,"")</f>
        <v/>
      </c>
    </row>
    <row r="143" spans="1:19" s="31" customFormat="1" collapsed="1" x14ac:dyDescent="0.2">
      <c r="A143" s="36"/>
      <c r="B143" s="139" t="str">
        <f>'Expenses Summary'!B98</f>
        <v>5999</v>
      </c>
      <c r="C143" s="139" t="str">
        <f>'Expenses Summary'!C98</f>
        <v>Expense Suspense</v>
      </c>
      <c r="D143" s="64" t="str">
        <f>IF('Expenses Summary'!$E98="","",IF('Cash Flow %s Yr2'!D143="","",'Cash Flow %s Yr2'!D143*'Expenses Summary'!$E98))</f>
        <v/>
      </c>
      <c r="E143" s="64" t="str">
        <f>IF('Expenses Summary'!$E98="","",IF('Cash Flow %s Yr2'!E143="","",'Cash Flow %s Yr2'!E143*'Expenses Summary'!$E98))</f>
        <v/>
      </c>
      <c r="F143" s="64" t="str">
        <f>IF('Expenses Summary'!$E98="","",IF('Cash Flow %s Yr2'!F143="","",'Cash Flow %s Yr2'!F143*'Expenses Summary'!$E98))</f>
        <v/>
      </c>
      <c r="G143" s="64" t="str">
        <f>IF('Expenses Summary'!$E98="","",IF('Cash Flow %s Yr2'!G143="","",'Cash Flow %s Yr2'!G143*'Expenses Summary'!$E98))</f>
        <v/>
      </c>
      <c r="H143" s="64" t="str">
        <f>IF('Expenses Summary'!$E98="","",IF('Cash Flow %s Yr2'!H143="","",'Cash Flow %s Yr2'!H143*'Expenses Summary'!$E98))</f>
        <v/>
      </c>
      <c r="I143" s="64" t="str">
        <f>IF('Expenses Summary'!$E98="","",IF('Cash Flow %s Yr2'!I143="","",'Cash Flow %s Yr2'!I143*'Expenses Summary'!$E98))</f>
        <v/>
      </c>
      <c r="J143" s="64" t="str">
        <f>IF('Expenses Summary'!$E98="","",IF('Cash Flow %s Yr2'!J143="","",'Cash Flow %s Yr2'!J143*'Expenses Summary'!$E98))</f>
        <v/>
      </c>
      <c r="K143" s="64" t="str">
        <f>IF('Expenses Summary'!$E98="","",IF('Cash Flow %s Yr2'!K143="","",'Cash Flow %s Yr2'!K143*'Expenses Summary'!$E98))</f>
        <v/>
      </c>
      <c r="L143" s="64" t="str">
        <f>IF('Expenses Summary'!$E98="","",IF('Cash Flow %s Yr2'!L143="","",'Cash Flow %s Yr2'!L143*'Expenses Summary'!$E98))</f>
        <v/>
      </c>
      <c r="M143" s="64" t="str">
        <f>IF('Expenses Summary'!$E98="","",IF('Cash Flow %s Yr2'!M143="","",'Cash Flow %s Yr2'!M143*'Expenses Summary'!$E98))</f>
        <v/>
      </c>
      <c r="N143" s="64" t="str">
        <f>IF('Expenses Summary'!$E98="","",IF('Cash Flow %s Yr2'!N143="","",'Cash Flow %s Yr2'!N143*'Expenses Summary'!$E98))</f>
        <v/>
      </c>
      <c r="O143" s="64" t="str">
        <f>IF('Expenses Summary'!$E98="","",IF('Cash Flow %s Yr2'!O143="","",'Cash Flow %s Yr2'!O143*'Expenses Summary'!$E98))</f>
        <v/>
      </c>
      <c r="P143" s="129"/>
      <c r="Q143" s="129"/>
      <c r="R143" s="129"/>
      <c r="S143" s="111" t="str">
        <f>IF(SUM(D143:R143)&gt;0,SUM(D143:R143)/'Expenses Summary'!$E98,"")</f>
        <v/>
      </c>
    </row>
    <row r="144" spans="1:19" s="31" customFormat="1" x14ac:dyDescent="0.2">
      <c r="A144" s="36"/>
      <c r="B144" s="33" t="s">
        <v>559</v>
      </c>
      <c r="C144" s="34" t="s">
        <v>721</v>
      </c>
      <c r="D144" s="172" t="e">
        <f>IF(SUM(D110:D143)&gt;0,SUM(D110:D143),"")</f>
        <v>#REF!</v>
      </c>
      <c r="E144" s="172" t="e">
        <f t="shared" ref="E144:O144" si="10">IF(SUM(E110:E143)&gt;0,SUM(E110:E143),"")</f>
        <v>#REF!</v>
      </c>
      <c r="F144" s="172" t="e">
        <f t="shared" si="10"/>
        <v>#REF!</v>
      </c>
      <c r="G144" s="172" t="e">
        <f t="shared" si="10"/>
        <v>#REF!</v>
      </c>
      <c r="H144" s="172" t="e">
        <f t="shared" si="10"/>
        <v>#REF!</v>
      </c>
      <c r="I144" s="172" t="e">
        <f t="shared" si="10"/>
        <v>#REF!</v>
      </c>
      <c r="J144" s="172" t="e">
        <f t="shared" si="10"/>
        <v>#REF!</v>
      </c>
      <c r="K144" s="172" t="e">
        <f t="shared" si="10"/>
        <v>#REF!</v>
      </c>
      <c r="L144" s="172" t="e">
        <f t="shared" si="10"/>
        <v>#REF!</v>
      </c>
      <c r="M144" s="172" t="e">
        <f t="shared" si="10"/>
        <v>#REF!</v>
      </c>
      <c r="N144" s="172" t="e">
        <f t="shared" si="10"/>
        <v>#REF!</v>
      </c>
      <c r="O144" s="172" t="e">
        <f t="shared" si="10"/>
        <v>#REF!</v>
      </c>
      <c r="P144" s="108"/>
      <c r="Q144" s="108"/>
      <c r="R144" s="108"/>
      <c r="S144" s="107"/>
    </row>
    <row r="145" spans="1:19" s="31" customFormat="1" x14ac:dyDescent="0.2">
      <c r="A145" s="36"/>
      <c r="B145" s="4"/>
      <c r="C145" s="3"/>
      <c r="D145" s="95"/>
      <c r="E145" s="95"/>
      <c r="F145" s="95"/>
      <c r="G145" s="95"/>
      <c r="H145" s="95"/>
      <c r="I145" s="95"/>
      <c r="J145" s="95"/>
      <c r="K145" s="95"/>
      <c r="L145" s="95"/>
      <c r="M145" s="95"/>
      <c r="N145" s="95"/>
      <c r="O145" s="95"/>
      <c r="P145" s="95"/>
      <c r="Q145" s="95"/>
      <c r="R145" s="95"/>
    </row>
    <row r="146" spans="1:19" s="31" customFormat="1" x14ac:dyDescent="0.2">
      <c r="B146" s="34" t="s">
        <v>723</v>
      </c>
      <c r="C146" s="3"/>
      <c r="D146" s="95"/>
      <c r="E146" s="95"/>
      <c r="F146" s="95"/>
      <c r="G146" s="95"/>
      <c r="H146" s="95"/>
      <c r="I146" s="95"/>
      <c r="J146" s="95"/>
      <c r="K146" s="95"/>
      <c r="L146" s="95"/>
      <c r="M146" s="95"/>
      <c r="N146" s="95"/>
      <c r="O146" s="95"/>
      <c r="P146" s="95"/>
      <c r="Q146" s="95"/>
      <c r="R146" s="95"/>
    </row>
    <row r="147" spans="1:19" s="31" customFormat="1" x14ac:dyDescent="0.2">
      <c r="A147" s="36"/>
      <c r="B147" s="139" t="str">
        <f>'Expenses Summary'!B102</f>
        <v>6900</v>
      </c>
      <c r="C147" s="139" t="str">
        <f>'Expenses Summary'!C102</f>
        <v xml:space="preserve">Depreciation Expense                                                            </v>
      </c>
      <c r="D147" s="64">
        <f>IF('Expenses Summary'!$E102="","",IF('Cash Flow %s Yr2'!D147="","",'Cash Flow %s Yr2'!D147*'Expenses Summary'!$E102))</f>
        <v>0</v>
      </c>
      <c r="E147" s="64">
        <f>IF('Expenses Summary'!$E102="","",IF('Cash Flow %s Yr2'!E147="","",'Cash Flow %s Yr2'!E147*'Expenses Summary'!$E102))</f>
        <v>0</v>
      </c>
      <c r="F147" s="64">
        <f>IF('Expenses Summary'!$E102="","",IF('Cash Flow %s Yr2'!F147="","",'Cash Flow %s Yr2'!F147*'Expenses Summary'!$E102))</f>
        <v>0</v>
      </c>
      <c r="G147" s="64">
        <f>IF('Expenses Summary'!$E102="","",IF('Cash Flow %s Yr2'!G147="","",'Cash Flow %s Yr2'!G147*'Expenses Summary'!$E102))</f>
        <v>0</v>
      </c>
      <c r="H147" s="64">
        <f>IF('Expenses Summary'!$E102="","",IF('Cash Flow %s Yr2'!H147="","",'Cash Flow %s Yr2'!H147*'Expenses Summary'!$E102))</f>
        <v>0</v>
      </c>
      <c r="I147" s="64">
        <f>IF('Expenses Summary'!$E102="","",IF('Cash Flow %s Yr2'!I147="","",'Cash Flow %s Yr2'!I147*'Expenses Summary'!$E102))</f>
        <v>0</v>
      </c>
      <c r="J147" s="64">
        <f>IF('Expenses Summary'!$E102="","",IF('Cash Flow %s Yr2'!J147="","",'Cash Flow %s Yr2'!J147*'Expenses Summary'!$E102))</f>
        <v>0</v>
      </c>
      <c r="K147" s="64">
        <f>IF('Expenses Summary'!$E102="","",IF('Cash Flow %s Yr2'!K147="","",'Cash Flow %s Yr2'!K147*'Expenses Summary'!$E102))</f>
        <v>0</v>
      </c>
      <c r="L147" s="64">
        <f>IF('Expenses Summary'!$E102="","",IF('Cash Flow %s Yr2'!L147="","",'Cash Flow %s Yr2'!L147*'Expenses Summary'!$E102))</f>
        <v>0</v>
      </c>
      <c r="M147" s="64">
        <f>IF('Expenses Summary'!$E102="","",IF('Cash Flow %s Yr2'!M147="","",'Cash Flow %s Yr2'!M147*'Expenses Summary'!$E102))</f>
        <v>0</v>
      </c>
      <c r="N147" s="64">
        <f>IF('Expenses Summary'!$E102="","",IF('Cash Flow %s Yr2'!N147="","",'Cash Flow %s Yr2'!N147*'Expenses Summary'!$E102))</f>
        <v>0</v>
      </c>
      <c r="O147" s="64">
        <f>IF('Expenses Summary'!$E102="","",IF('Cash Flow %s Yr2'!O147="","",'Cash Flow %s Yr2'!O147*'Expenses Summary'!$E102))</f>
        <v>2824</v>
      </c>
      <c r="P147" s="129"/>
      <c r="Q147" s="129"/>
      <c r="R147" s="129"/>
      <c r="S147" s="111">
        <f>IF(SUM(D147:R147)&gt;0,SUM(D147:R147)/'Expenses Summary'!$E102,"")</f>
        <v>1</v>
      </c>
    </row>
    <row r="148" spans="1:19" s="31" customFormat="1" x14ac:dyDescent="0.2">
      <c r="A148" s="36"/>
      <c r="B148" s="33" t="s">
        <v>560</v>
      </c>
      <c r="C148" s="34" t="s">
        <v>721</v>
      </c>
      <c r="D148" s="172" t="str">
        <f t="shared" ref="D148:O148" si="11">IF(SUM(D146:D147)&gt;0,SUM(D146:D147),"")</f>
        <v/>
      </c>
      <c r="E148" s="172" t="str">
        <f t="shared" si="11"/>
        <v/>
      </c>
      <c r="F148" s="172" t="str">
        <f t="shared" si="11"/>
        <v/>
      </c>
      <c r="G148" s="172" t="str">
        <f t="shared" si="11"/>
        <v/>
      </c>
      <c r="H148" s="172" t="str">
        <f t="shared" si="11"/>
        <v/>
      </c>
      <c r="I148" s="172" t="str">
        <f t="shared" si="11"/>
        <v/>
      </c>
      <c r="J148" s="172" t="str">
        <f t="shared" si="11"/>
        <v/>
      </c>
      <c r="K148" s="172" t="str">
        <f t="shared" si="11"/>
        <v/>
      </c>
      <c r="L148" s="172" t="str">
        <f t="shared" si="11"/>
        <v/>
      </c>
      <c r="M148" s="172" t="str">
        <f t="shared" si="11"/>
        <v/>
      </c>
      <c r="N148" s="172" t="str">
        <f t="shared" si="11"/>
        <v/>
      </c>
      <c r="O148" s="172">
        <f t="shared" si="11"/>
        <v>2824</v>
      </c>
      <c r="P148" s="108"/>
      <c r="Q148" s="108"/>
      <c r="R148" s="108"/>
      <c r="S148" s="107"/>
    </row>
    <row r="149" spans="1:19" s="31" customFormat="1" x14ac:dyDescent="0.2">
      <c r="A149" s="36"/>
      <c r="B149" s="4"/>
      <c r="C149" s="3"/>
      <c r="D149" s="104"/>
      <c r="E149" s="104"/>
      <c r="F149" s="104"/>
      <c r="G149" s="95"/>
      <c r="H149" s="95"/>
      <c r="I149" s="95"/>
      <c r="J149" s="95"/>
      <c r="K149" s="95"/>
      <c r="L149" s="95"/>
      <c r="M149" s="95"/>
      <c r="N149" s="95"/>
      <c r="O149" s="95"/>
      <c r="P149" s="95"/>
      <c r="Q149" s="95"/>
      <c r="R149" s="95"/>
    </row>
    <row r="150" spans="1:19" s="31" customFormat="1" x14ac:dyDescent="0.2">
      <c r="B150" s="34" t="s">
        <v>724</v>
      </c>
      <c r="C150" s="3"/>
      <c r="D150" s="104"/>
      <c r="E150" s="104"/>
      <c r="F150" s="104"/>
      <c r="G150" s="95"/>
      <c r="H150" s="95"/>
      <c r="I150" s="95"/>
      <c r="J150" s="95"/>
      <c r="K150" s="95"/>
      <c r="L150" s="95"/>
      <c r="M150" s="95"/>
      <c r="N150" s="95"/>
      <c r="O150" s="95"/>
      <c r="P150" s="95"/>
      <c r="Q150" s="95"/>
      <c r="R150" s="95"/>
    </row>
    <row r="151" spans="1:19" s="31" customFormat="1" x14ac:dyDescent="0.2">
      <c r="A151" s="36"/>
      <c r="B151" s="139" t="str">
        <f>'Expenses Summary'!B106</f>
        <v>7000</v>
      </c>
      <c r="C151" s="139" t="str">
        <f>'Expenses Summary'!C106</f>
        <v>Miscellaneous Expense</v>
      </c>
      <c r="D151" s="64" t="str">
        <f>IF('Expenses Summary'!$E106="","",IF('Cash Flow %s Yr2'!D151="","",'Cash Flow %s Yr2'!D151*'Expenses Summary'!$E106))</f>
        <v/>
      </c>
      <c r="E151" s="64" t="str">
        <f>IF('Expenses Summary'!$E106="","",IF('Cash Flow %s Yr2'!E151="","",'Cash Flow %s Yr2'!E151*'Expenses Summary'!$E106))</f>
        <v/>
      </c>
      <c r="F151" s="64" t="str">
        <f>IF('Expenses Summary'!$E106="","",IF('Cash Flow %s Yr2'!F151="","",'Cash Flow %s Yr2'!F151*'Expenses Summary'!$E106))</f>
        <v/>
      </c>
      <c r="G151" s="64" t="str">
        <f>IF('Expenses Summary'!$E106="","",IF('Cash Flow %s Yr2'!G151="","",'Cash Flow %s Yr2'!G151*'Expenses Summary'!$E106))</f>
        <v/>
      </c>
      <c r="H151" s="64" t="str">
        <f>IF('Expenses Summary'!$E106="","",IF('Cash Flow %s Yr2'!H151="","",'Cash Flow %s Yr2'!H151*'Expenses Summary'!$E106))</f>
        <v/>
      </c>
      <c r="I151" s="64" t="str">
        <f>IF('Expenses Summary'!$E106="","",IF('Cash Flow %s Yr2'!I151="","",'Cash Flow %s Yr2'!I151*'Expenses Summary'!$E106))</f>
        <v/>
      </c>
      <c r="J151" s="64" t="str">
        <f>IF('Expenses Summary'!$E106="","",IF('Cash Flow %s Yr2'!J151="","",'Cash Flow %s Yr2'!J151*'Expenses Summary'!$E106))</f>
        <v/>
      </c>
      <c r="K151" s="64" t="str">
        <f>IF('Expenses Summary'!$E106="","",IF('Cash Flow %s Yr2'!K151="","",'Cash Flow %s Yr2'!K151*'Expenses Summary'!$E106))</f>
        <v/>
      </c>
      <c r="L151" s="64" t="str">
        <f>IF('Expenses Summary'!$E106="","",IF('Cash Flow %s Yr2'!L151="","",'Cash Flow %s Yr2'!L151*'Expenses Summary'!$E106))</f>
        <v/>
      </c>
      <c r="M151" s="64" t="str">
        <f>IF('Expenses Summary'!$E106="","",IF('Cash Flow %s Yr2'!M151="","",'Cash Flow %s Yr2'!M151*'Expenses Summary'!$E106))</f>
        <v/>
      </c>
      <c r="N151" s="64" t="str">
        <f>IF('Expenses Summary'!$E106="","",IF('Cash Flow %s Yr2'!N151="","",'Cash Flow %s Yr2'!N151*'Expenses Summary'!$E106))</f>
        <v/>
      </c>
      <c r="O151" s="64" t="str">
        <f>IF('Expenses Summary'!$E106="","",IF('Cash Flow %s Yr2'!O151="","",'Cash Flow %s Yr2'!O151*'Expenses Summary'!$E106))</f>
        <v/>
      </c>
      <c r="P151" s="129"/>
      <c r="Q151" s="129"/>
      <c r="R151" s="129"/>
      <c r="S151" s="111" t="str">
        <f>IF(SUM(D151:R151)&gt;0,SUM(D151:R151)/'Expenses Summary'!$E106,"")</f>
        <v/>
      </c>
    </row>
    <row r="152" spans="1:19" s="31" customFormat="1" x14ac:dyDescent="0.2">
      <c r="A152" s="36"/>
      <c r="B152" s="139" t="str">
        <f>'Expenses Summary'!B107</f>
        <v>7010</v>
      </c>
      <c r="C152" s="139" t="str">
        <f>'Expenses Summary'!C107</f>
        <v>Special Education Encroachment</v>
      </c>
      <c r="D152" s="64">
        <f>IF('Expenses Summary'!$E107="","",IF('Cash Flow %s Yr2'!D152="","",'Cash Flow %s Yr2'!D152*'Expenses Summary'!$E107))</f>
        <v>0</v>
      </c>
      <c r="E152" s="64">
        <f>IF('Expenses Summary'!$E107="","",IF('Cash Flow %s Yr2'!E152="","",'Cash Flow %s Yr2'!E152*'Expenses Summary'!$E107))</f>
        <v>0</v>
      </c>
      <c r="F152" s="64">
        <f>IF('Expenses Summary'!$E107="","",IF('Cash Flow %s Yr2'!F152="","",'Cash Flow %s Yr2'!F152*'Expenses Summary'!$E107))</f>
        <v>0</v>
      </c>
      <c r="G152" s="64">
        <f>IF('Expenses Summary'!$E107="","",IF('Cash Flow %s Yr2'!G152="","",'Cash Flow %s Yr2'!G152*'Expenses Summary'!$E107))</f>
        <v>0</v>
      </c>
      <c r="H152" s="64">
        <f>IF('Expenses Summary'!$E107="","",IF('Cash Flow %s Yr2'!H152="","",'Cash Flow %s Yr2'!H152*'Expenses Summary'!$E107))</f>
        <v>0</v>
      </c>
      <c r="I152" s="64">
        <f>IF('Expenses Summary'!$E107="","",IF('Cash Flow %s Yr2'!I152="","",'Cash Flow %s Yr2'!I152*'Expenses Summary'!$E107))</f>
        <v>0</v>
      </c>
      <c r="J152" s="64">
        <f>IF('Expenses Summary'!$E107="","",IF('Cash Flow %s Yr2'!J152="","",'Cash Flow %s Yr2'!J152*'Expenses Summary'!$E107))</f>
        <v>0</v>
      </c>
      <c r="K152" s="64">
        <f>IF('Expenses Summary'!$E107="","",IF('Cash Flow %s Yr2'!K152="","",'Cash Flow %s Yr2'!K152*'Expenses Summary'!$E107))</f>
        <v>0</v>
      </c>
      <c r="L152" s="64">
        <f>IF('Expenses Summary'!$E107="","",IF('Cash Flow %s Yr2'!L152="","",'Cash Flow %s Yr2'!L152*'Expenses Summary'!$E107))</f>
        <v>0</v>
      </c>
      <c r="M152" s="64">
        <f>IF('Expenses Summary'!$E107="","",IF('Cash Flow %s Yr2'!M152="","",'Cash Flow %s Yr2'!M152*'Expenses Summary'!$E107))</f>
        <v>0</v>
      </c>
      <c r="N152" s="64">
        <f>IF('Expenses Summary'!$E107="","",IF('Cash Flow %s Yr2'!N152="","",'Cash Flow %s Yr2'!N152*'Expenses Summary'!$E107))</f>
        <v>0</v>
      </c>
      <c r="O152" s="64">
        <f>IF('Expenses Summary'!$E107="","",IF('Cash Flow %s Yr2'!O152="","",'Cash Flow %s Yr2'!O152*'Expenses Summary'!$E107))</f>
        <v>74824.334700000007</v>
      </c>
      <c r="P152" s="129"/>
      <c r="Q152" s="129"/>
      <c r="R152" s="129"/>
      <c r="S152" s="111">
        <f>IF(SUM(D152:R152)&gt;0,SUM(D152:R152)/'Expenses Summary'!$E107,"")</f>
        <v>1</v>
      </c>
    </row>
    <row r="153" spans="1:19" s="31" customFormat="1" x14ac:dyDescent="0.2">
      <c r="A153" s="36"/>
      <c r="B153" s="139" t="str">
        <f>'Expenses Summary'!B108</f>
        <v>7438</v>
      </c>
      <c r="C153" s="139" t="str">
        <f>'Expenses Summary'!C108</f>
        <v xml:space="preserve">Debt </v>
      </c>
      <c r="D153" s="64">
        <f>IF('Expenses Summary'!$E108="","",IF('Cash Flow %s Yr2'!D153="","",'Cash Flow %s Yr2'!D153*'Expenses Summary'!$E108))</f>
        <v>0</v>
      </c>
      <c r="E153" s="64">
        <f>IF('Expenses Summary'!$E108="","",IF('Cash Flow %s Yr2'!E153="","",'Cash Flow %s Yr2'!E153*'Expenses Summary'!$E108))</f>
        <v>0</v>
      </c>
      <c r="F153" s="64">
        <f>IF('Expenses Summary'!$E108="","",IF('Cash Flow %s Yr2'!F153="","",'Cash Flow %s Yr2'!F153*'Expenses Summary'!$E108))</f>
        <v>0</v>
      </c>
      <c r="G153" s="64">
        <f>IF('Expenses Summary'!$E108="","",IF('Cash Flow %s Yr2'!G153="","",'Cash Flow %s Yr2'!G153*'Expenses Summary'!$E108))</f>
        <v>0</v>
      </c>
      <c r="H153" s="64">
        <f>IF('Expenses Summary'!$E108="","",IF('Cash Flow %s Yr2'!H153="","",'Cash Flow %s Yr2'!H153*'Expenses Summary'!$E108))</f>
        <v>0</v>
      </c>
      <c r="I153" s="64">
        <f>IF('Expenses Summary'!$E108="","",IF('Cash Flow %s Yr2'!I153="","",'Cash Flow %s Yr2'!I153*'Expenses Summary'!$E108))</f>
        <v>0</v>
      </c>
      <c r="J153" s="64">
        <f>IF('Expenses Summary'!$E108="","",IF('Cash Flow %s Yr2'!J153="","",'Cash Flow %s Yr2'!J153*'Expenses Summary'!$E108))</f>
        <v>0</v>
      </c>
      <c r="K153" s="64">
        <f>IF('Expenses Summary'!$E108="","",IF('Cash Flow %s Yr2'!K153="","",'Cash Flow %s Yr2'!K153*'Expenses Summary'!$E108))</f>
        <v>0</v>
      </c>
      <c r="L153" s="64">
        <f>IF('Expenses Summary'!$E108="","",IF('Cash Flow %s Yr2'!L153="","",'Cash Flow %s Yr2'!L153*'Expenses Summary'!$E108))</f>
        <v>0</v>
      </c>
      <c r="M153" s="64">
        <f>IF('Expenses Summary'!$E108="","",IF('Cash Flow %s Yr2'!M153="","",'Cash Flow %s Yr2'!M153*'Expenses Summary'!$E108))</f>
        <v>0</v>
      </c>
      <c r="N153" s="64">
        <f>IF('Expenses Summary'!$E108="","",IF('Cash Flow %s Yr2'!N153="","",'Cash Flow %s Yr2'!N153*'Expenses Summary'!$E108))</f>
        <v>0</v>
      </c>
      <c r="O153" s="64">
        <f>IF('Expenses Summary'!$E108="","",IF('Cash Flow %s Yr2'!O153="","",'Cash Flow %s Yr2'!O153*'Expenses Summary'!$E108))</f>
        <v>0</v>
      </c>
      <c r="P153" s="129"/>
      <c r="Q153" s="129"/>
      <c r="R153" s="129"/>
      <c r="S153" s="111" t="str">
        <f>IF(SUM(D153:R153)&gt;0,SUM(D153:R153)/'Expenses Summary'!$E108,"")</f>
        <v/>
      </c>
    </row>
    <row r="154" spans="1:19" s="31" customFormat="1" x14ac:dyDescent="0.2">
      <c r="A154" s="36"/>
      <c r="B154" s="139" t="str">
        <f>'Expenses Summary'!B109</f>
        <v>7500</v>
      </c>
      <c r="C154" s="139" t="str">
        <f>'Expenses Summary'!C109</f>
        <v>District Oversight Fee</v>
      </c>
      <c r="D154" s="64">
        <f>IF('Expenses Summary'!$E109="","",IF('Cash Flow %s Yr2'!D154="","",'Cash Flow %s Yr2'!D154*'Expenses Summary'!$E109))</f>
        <v>0</v>
      </c>
      <c r="E154" s="64">
        <f>IF('Expenses Summary'!$E109="","",IF('Cash Flow %s Yr2'!E154="","",'Cash Flow %s Yr2'!E154*'Expenses Summary'!$E109))</f>
        <v>0</v>
      </c>
      <c r="F154" s="64">
        <f>IF('Expenses Summary'!$E109="","",IF('Cash Flow %s Yr2'!F154="","",'Cash Flow %s Yr2'!F154*'Expenses Summary'!$E109))</f>
        <v>0</v>
      </c>
      <c r="G154" s="64">
        <f>IF('Expenses Summary'!$E109="","",IF('Cash Flow %s Yr2'!G154="","",'Cash Flow %s Yr2'!G154*'Expenses Summary'!$E109))</f>
        <v>0</v>
      </c>
      <c r="H154" s="64">
        <f>IF('Expenses Summary'!$E109="","",IF('Cash Flow %s Yr2'!H154="","",'Cash Flow %s Yr2'!H154*'Expenses Summary'!$E109))</f>
        <v>0</v>
      </c>
      <c r="I154" s="64">
        <f>IF('Expenses Summary'!$E109="","",IF('Cash Flow %s Yr2'!I154="","",'Cash Flow %s Yr2'!I154*'Expenses Summary'!$E109))</f>
        <v>0</v>
      </c>
      <c r="J154" s="64">
        <f>IF('Expenses Summary'!$E109="","",IF('Cash Flow %s Yr2'!J154="","",'Cash Flow %s Yr2'!J154*'Expenses Summary'!$E109))</f>
        <v>0</v>
      </c>
      <c r="K154" s="64">
        <f>IF('Expenses Summary'!$E109="","",IF('Cash Flow %s Yr2'!K154="","",'Cash Flow %s Yr2'!K154*'Expenses Summary'!$E109))</f>
        <v>0</v>
      </c>
      <c r="L154" s="64">
        <f>IF('Expenses Summary'!$E109="","",IF('Cash Flow %s Yr2'!L154="","",'Cash Flow %s Yr2'!L154*'Expenses Summary'!$E109))</f>
        <v>0</v>
      </c>
      <c r="M154" s="64">
        <f>IF('Expenses Summary'!$E109="","",IF('Cash Flow %s Yr2'!M154="","",'Cash Flow %s Yr2'!M154*'Expenses Summary'!$E109))</f>
        <v>0</v>
      </c>
      <c r="N154" s="64">
        <f>IF('Expenses Summary'!$E109="","",IF('Cash Flow %s Yr2'!N154="","",'Cash Flow %s Yr2'!N154*'Expenses Summary'!$E109))</f>
        <v>0</v>
      </c>
      <c r="O154" s="64">
        <f>IF('Expenses Summary'!$E109="","",IF('Cash Flow %s Yr2'!O154="","",'Cash Flow %s Yr2'!O154*'Expenses Summary'!$E109))</f>
        <v>0</v>
      </c>
      <c r="P154" s="129"/>
      <c r="Q154" s="129"/>
      <c r="R154" s="129"/>
      <c r="S154" s="111" t="str">
        <f>IF(SUM(D154:R154)&gt;0,SUM(D154:R154)/'Expenses Summary'!$E109,"")</f>
        <v/>
      </c>
    </row>
    <row r="155" spans="1:19" s="31" customFormat="1" x14ac:dyDescent="0.2">
      <c r="A155" s="36"/>
      <c r="B155" s="33" t="s">
        <v>685</v>
      </c>
      <c r="C155" s="34" t="s">
        <v>725</v>
      </c>
      <c r="D155" s="192" t="str">
        <f t="shared" ref="D155:O155" si="12">IF(SUM(D150:D154)&gt;0,SUM(D150:D154),"")</f>
        <v/>
      </c>
      <c r="E155" s="192" t="str">
        <f t="shared" si="12"/>
        <v/>
      </c>
      <c r="F155" s="192" t="str">
        <f t="shared" si="12"/>
        <v/>
      </c>
      <c r="G155" s="192" t="str">
        <f t="shared" si="12"/>
        <v/>
      </c>
      <c r="H155" s="192" t="str">
        <f t="shared" si="12"/>
        <v/>
      </c>
      <c r="I155" s="192" t="str">
        <f t="shared" si="12"/>
        <v/>
      </c>
      <c r="J155" s="192" t="str">
        <f t="shared" si="12"/>
        <v/>
      </c>
      <c r="K155" s="192" t="str">
        <f t="shared" si="12"/>
        <v/>
      </c>
      <c r="L155" s="192" t="str">
        <f t="shared" si="12"/>
        <v/>
      </c>
      <c r="M155" s="192" t="str">
        <f t="shared" si="12"/>
        <v/>
      </c>
      <c r="N155" s="192" t="str">
        <f t="shared" si="12"/>
        <v/>
      </c>
      <c r="O155" s="192">
        <f t="shared" si="12"/>
        <v>74824.334700000007</v>
      </c>
      <c r="P155" s="132"/>
      <c r="Q155" s="132"/>
      <c r="R155" s="132"/>
    </row>
    <row r="156" spans="1:19" s="31" customFormat="1" x14ac:dyDescent="0.2">
      <c r="A156" s="34" t="s">
        <v>732</v>
      </c>
      <c r="B156" s="4"/>
      <c r="C156" s="3"/>
      <c r="D156" s="172" t="e">
        <f t="shared" ref="D156:O156" si="13">IF(SUM(D155,D148,D144,D108,D88,D76,D63)&gt;0,SUM(D155,D148,D144,D108,D88,D76,D63),"")</f>
        <v>#REF!</v>
      </c>
      <c r="E156" s="172" t="e">
        <f t="shared" si="13"/>
        <v>#REF!</v>
      </c>
      <c r="F156" s="172" t="e">
        <f t="shared" si="13"/>
        <v>#REF!</v>
      </c>
      <c r="G156" s="172" t="e">
        <f t="shared" si="13"/>
        <v>#REF!</v>
      </c>
      <c r="H156" s="172" t="e">
        <f t="shared" si="13"/>
        <v>#REF!</v>
      </c>
      <c r="I156" s="172" t="e">
        <f t="shared" si="13"/>
        <v>#REF!</v>
      </c>
      <c r="J156" s="172" t="e">
        <f t="shared" si="13"/>
        <v>#REF!</v>
      </c>
      <c r="K156" s="172" t="e">
        <f t="shared" si="13"/>
        <v>#REF!</v>
      </c>
      <c r="L156" s="172" t="e">
        <f t="shared" si="13"/>
        <v>#REF!</v>
      </c>
      <c r="M156" s="172" t="e">
        <f t="shared" si="13"/>
        <v>#REF!</v>
      </c>
      <c r="N156" s="172" t="e">
        <f t="shared" si="13"/>
        <v>#REF!</v>
      </c>
      <c r="O156" s="172" t="e">
        <f t="shared" si="13"/>
        <v>#REF!</v>
      </c>
      <c r="P156" s="95"/>
      <c r="Q156" s="95"/>
      <c r="R156" s="95"/>
    </row>
    <row r="157" spans="1:19" s="31" customFormat="1" x14ac:dyDescent="0.2">
      <c r="A157" s="34"/>
      <c r="B157" s="4"/>
      <c r="C157" s="3"/>
      <c r="D157" s="46"/>
      <c r="E157" s="46"/>
      <c r="F157" s="46"/>
      <c r="G157" s="46"/>
      <c r="H157" s="46"/>
      <c r="I157" s="46"/>
      <c r="J157" s="46"/>
      <c r="K157" s="46"/>
      <c r="L157" s="46"/>
      <c r="M157" s="46"/>
      <c r="N157" s="46"/>
      <c r="O157" s="46"/>
      <c r="P157" s="95"/>
      <c r="Q157" s="95"/>
      <c r="R157" s="95"/>
    </row>
    <row r="158" spans="1:19" s="31" customFormat="1" x14ac:dyDescent="0.2">
      <c r="A158" s="36"/>
      <c r="B158" s="34" t="s">
        <v>824</v>
      </c>
      <c r="C158" s="3"/>
      <c r="D158" s="104"/>
      <c r="E158" s="104"/>
      <c r="F158" s="104"/>
      <c r="G158" s="95"/>
      <c r="H158" s="95"/>
      <c r="I158" s="95"/>
      <c r="J158" s="95"/>
      <c r="K158" s="95"/>
      <c r="L158" s="95"/>
      <c r="M158" s="95"/>
      <c r="N158" s="95"/>
      <c r="O158" s="95"/>
      <c r="P158" s="95"/>
      <c r="Q158" s="95"/>
      <c r="R158" s="95"/>
    </row>
    <row r="159" spans="1:19" s="31" customFormat="1" x14ac:dyDescent="0.2">
      <c r="A159" s="36"/>
      <c r="B159" s="66"/>
      <c r="C159" s="66" t="str">
        <f>'Cash Flow %s Yr2'!C158</f>
        <v>Cash balance at previous year end</v>
      </c>
      <c r="D159" s="64">
        <f>'Cash Flow $s Yr1'!O169</f>
        <v>247530.65249449655</v>
      </c>
      <c r="E159" s="64"/>
      <c r="F159" s="64"/>
      <c r="G159" s="64"/>
      <c r="H159" s="64"/>
      <c r="I159" s="64"/>
      <c r="J159" s="64"/>
      <c r="K159" s="64"/>
      <c r="L159" s="64"/>
      <c r="M159" s="64"/>
      <c r="N159" s="64"/>
      <c r="O159" s="64"/>
      <c r="P159" s="103"/>
      <c r="Q159" s="103"/>
      <c r="R159" s="103"/>
    </row>
    <row r="160" spans="1:19" s="31" customFormat="1" x14ac:dyDescent="0.2">
      <c r="A160" s="36"/>
      <c r="B160" s="66"/>
      <c r="C160" s="135" t="str">
        <f>'Cash Flow %s Yr2'!C159</f>
        <v>Accounts Receivable</v>
      </c>
      <c r="D160" s="64">
        <f>'Cash Flow %s Yr2'!D159*'Cash Flow $s Yr1'!$O160</f>
        <v>0</v>
      </c>
      <c r="E160" s="64">
        <f>'Cash Flow %s Yr2'!E159*'Cash Flow $s Yr1'!$O160</f>
        <v>0</v>
      </c>
      <c r="F160" s="64">
        <f>'Cash Flow %s Yr2'!F159*'Cash Flow $s Yr1'!$O160</f>
        <v>0</v>
      </c>
      <c r="G160" s="64">
        <f>'Cash Flow %s Yr2'!G159*'Cash Flow $s Yr1'!$O160</f>
        <v>0</v>
      </c>
      <c r="H160" s="64">
        <f>'Cash Flow %s Yr2'!H159*'Cash Flow $s Yr1'!$O160</f>
        <v>0</v>
      </c>
      <c r="I160" s="64">
        <f>'Cash Flow %s Yr2'!I159*'Cash Flow $s Yr1'!$O160</f>
        <v>0</v>
      </c>
      <c r="J160" s="64">
        <f>'Cash Flow %s Yr2'!J159*'Cash Flow $s Yr1'!$O160</f>
        <v>0</v>
      </c>
      <c r="K160" s="64">
        <f>'Cash Flow %s Yr2'!K159*'Cash Flow $s Yr1'!$O160</f>
        <v>0</v>
      </c>
      <c r="L160" s="64">
        <f>'Cash Flow %s Yr2'!L159*'Cash Flow $s Yr1'!$O160</f>
        <v>0</v>
      </c>
      <c r="M160" s="64">
        <f>'Cash Flow %s Yr2'!M159*'Cash Flow $s Yr1'!$O160</f>
        <v>0</v>
      </c>
      <c r="N160" s="64">
        <f>'Cash Flow %s Yr2'!N159*'Cash Flow $s Yr1'!$O160</f>
        <v>0</v>
      </c>
      <c r="O160" s="64">
        <f>'Cash Flow %s Yr2'!O159*'Cash Flow $s Yr1'!$O160</f>
        <v>0</v>
      </c>
      <c r="P160" s="191">
        <f>P51</f>
        <v>84277.019637712801</v>
      </c>
      <c r="Q160" s="191">
        <f>Q51</f>
        <v>58712.96678284715</v>
      </c>
      <c r="R160" s="191">
        <f>R51</f>
        <v>0</v>
      </c>
    </row>
    <row r="161" spans="1:18" s="31" customFormat="1" x14ac:dyDescent="0.2">
      <c r="A161" s="36"/>
      <c r="B161" s="66"/>
      <c r="C161" s="135" t="str">
        <f>'Cash Flow %s Yr2'!C160</f>
        <v>Accounts Payable</v>
      </c>
      <c r="D161" s="64">
        <f>'Cash Flow %s Yr2'!D160*'Cash Flow $s Yr1'!$O161</f>
        <v>0</v>
      </c>
      <c r="E161" s="64">
        <f>'Cash Flow %s Yr2'!E160*'Cash Flow $s Yr1'!$O161</f>
        <v>0</v>
      </c>
      <c r="F161" s="64">
        <f>'Cash Flow %s Yr2'!F160*'Cash Flow $s Yr1'!$O161</f>
        <v>0</v>
      </c>
      <c r="G161" s="64">
        <f>'Cash Flow %s Yr2'!G160*'Cash Flow $s Yr1'!$O161</f>
        <v>0</v>
      </c>
      <c r="H161" s="64">
        <f>'Cash Flow %s Yr2'!H160*'Cash Flow $s Yr1'!$O161</f>
        <v>0</v>
      </c>
      <c r="I161" s="64">
        <f>'Cash Flow %s Yr2'!I160*'Cash Flow $s Yr1'!$O161</f>
        <v>0</v>
      </c>
      <c r="J161" s="64">
        <f>'Cash Flow %s Yr2'!J160*'Cash Flow $s Yr1'!$O161</f>
        <v>0</v>
      </c>
      <c r="K161" s="64">
        <f>'Cash Flow %s Yr2'!K160*'Cash Flow $s Yr1'!$O161</f>
        <v>0</v>
      </c>
      <c r="L161" s="64">
        <f>'Cash Flow %s Yr2'!L160*'Cash Flow $s Yr1'!$O161</f>
        <v>0</v>
      </c>
      <c r="M161" s="64">
        <f>'Cash Flow %s Yr2'!M160*'Cash Flow $s Yr1'!$O161</f>
        <v>0</v>
      </c>
      <c r="N161" s="64">
        <f>'Cash Flow %s Yr2'!N160*'Cash Flow $s Yr1'!$O161</f>
        <v>0</v>
      </c>
      <c r="O161" s="64">
        <f>'Cash Flow %s Yr2'!O160*'Cash Flow $s Yr1'!$O161</f>
        <v>0</v>
      </c>
      <c r="P161" s="103"/>
      <c r="Q161" s="103"/>
      <c r="R161" s="103"/>
    </row>
    <row r="162" spans="1:18" s="31" customFormat="1" x14ac:dyDescent="0.2">
      <c r="A162" s="36"/>
      <c r="B162" s="66"/>
      <c r="C162" s="135" t="str">
        <f>'Cash Flow %s Yr2'!C161</f>
        <v>Loan Principal Payable</v>
      </c>
      <c r="D162" s="64"/>
      <c r="E162" s="64"/>
      <c r="F162" s="64"/>
      <c r="G162" s="64"/>
      <c r="H162" s="64"/>
      <c r="I162" s="64"/>
      <c r="J162" s="64"/>
      <c r="K162" s="64"/>
      <c r="L162" s="64"/>
      <c r="M162" s="64"/>
      <c r="N162" s="64"/>
      <c r="O162" s="64"/>
      <c r="P162" s="103"/>
      <c r="Q162" s="103"/>
      <c r="R162" s="103"/>
    </row>
    <row r="163" spans="1:18" s="31" customFormat="1" x14ac:dyDescent="0.2">
      <c r="A163" s="36"/>
      <c r="B163" s="124"/>
      <c r="C163" s="34" t="s">
        <v>725</v>
      </c>
      <c r="D163" s="85">
        <f>D159+D160-D161-D162</f>
        <v>247530.65249449655</v>
      </c>
      <c r="E163" s="85">
        <f t="shared" ref="E163:O163" si="14">E159+E160-E161-E162</f>
        <v>0</v>
      </c>
      <c r="F163" s="85">
        <f t="shared" si="14"/>
        <v>0</v>
      </c>
      <c r="G163" s="85">
        <f t="shared" si="14"/>
        <v>0</v>
      </c>
      <c r="H163" s="85">
        <f t="shared" si="14"/>
        <v>0</v>
      </c>
      <c r="I163" s="85">
        <f t="shared" si="14"/>
        <v>0</v>
      </c>
      <c r="J163" s="85">
        <f t="shared" si="14"/>
        <v>0</v>
      </c>
      <c r="K163" s="85">
        <f t="shared" si="14"/>
        <v>0</v>
      </c>
      <c r="L163" s="85">
        <f t="shared" si="14"/>
        <v>0</v>
      </c>
      <c r="M163" s="85">
        <f t="shared" si="14"/>
        <v>0</v>
      </c>
      <c r="N163" s="85">
        <f t="shared" si="14"/>
        <v>0</v>
      </c>
      <c r="O163" s="85">
        <f t="shared" si="14"/>
        <v>0</v>
      </c>
      <c r="P163" s="108"/>
      <c r="Q163" s="108"/>
      <c r="R163" s="108"/>
    </row>
    <row r="164" spans="1:18" s="40" customFormat="1" ht="17" thickBot="1" x14ac:dyDescent="0.25">
      <c r="A164" s="36"/>
      <c r="C164" s="1"/>
      <c r="D164" s="95"/>
      <c r="E164" s="95"/>
      <c r="F164" s="95"/>
      <c r="G164" s="95"/>
      <c r="H164" s="95"/>
      <c r="I164" s="95"/>
      <c r="J164" s="95"/>
      <c r="K164" s="95"/>
      <c r="L164" s="95"/>
      <c r="M164" s="95"/>
      <c r="N164" s="95"/>
      <c r="O164" s="95"/>
      <c r="P164" s="95"/>
      <c r="Q164" s="95"/>
      <c r="R164" s="95"/>
    </row>
    <row r="165" spans="1:18" s="40" customFormat="1" ht="17" thickBot="1" x14ac:dyDescent="0.25">
      <c r="A165" s="74" t="s">
        <v>831</v>
      </c>
      <c r="B165" s="131"/>
      <c r="C165" s="75"/>
      <c r="D165" s="151" t="e">
        <f t="shared" ref="D165:O165" si="15">D51-D156</f>
        <v>#REF!</v>
      </c>
      <c r="E165" s="151" t="e">
        <f t="shared" si="15"/>
        <v>#REF!</v>
      </c>
      <c r="F165" s="151" t="e">
        <f t="shared" si="15"/>
        <v>#REF!</v>
      </c>
      <c r="G165" s="151" t="e">
        <f t="shared" si="15"/>
        <v>#REF!</v>
      </c>
      <c r="H165" s="151" t="e">
        <f t="shared" si="15"/>
        <v>#REF!</v>
      </c>
      <c r="I165" s="151" t="e">
        <f t="shared" si="15"/>
        <v>#REF!</v>
      </c>
      <c r="J165" s="151" t="e">
        <f t="shared" si="15"/>
        <v>#REF!</v>
      </c>
      <c r="K165" s="151" t="e">
        <f t="shared" si="15"/>
        <v>#REF!</v>
      </c>
      <c r="L165" s="151" t="e">
        <f t="shared" si="15"/>
        <v>#REF!</v>
      </c>
      <c r="M165" s="151" t="e">
        <f t="shared" si="15"/>
        <v>#REF!</v>
      </c>
      <c r="N165" s="151" t="e">
        <f t="shared" si="15"/>
        <v>#REF!</v>
      </c>
      <c r="O165" s="152" t="e">
        <f t="shared" si="15"/>
        <v>#REF!</v>
      </c>
      <c r="P165" s="95"/>
      <c r="Q165" s="95"/>
      <c r="R165" s="95"/>
    </row>
    <row r="166" spans="1:18" s="40" customFormat="1" ht="17" thickBot="1" x14ac:dyDescent="0.25">
      <c r="A166" s="36"/>
      <c r="C166" s="1"/>
      <c r="D166" s="153"/>
      <c r="E166" s="153"/>
      <c r="F166" s="153"/>
      <c r="G166" s="153"/>
      <c r="H166" s="153"/>
      <c r="I166" s="153"/>
      <c r="J166" s="153"/>
      <c r="K166" s="153"/>
      <c r="L166" s="153"/>
      <c r="M166" s="153"/>
      <c r="N166" s="153"/>
      <c r="O166" s="153"/>
      <c r="P166" s="95"/>
      <c r="Q166" s="95"/>
      <c r="R166" s="95"/>
    </row>
    <row r="167" spans="1:18" s="40" customFormat="1" ht="17" thickBot="1" x14ac:dyDescent="0.25">
      <c r="A167" s="74" t="s">
        <v>822</v>
      </c>
      <c r="B167" s="131"/>
      <c r="C167" s="75"/>
      <c r="D167" s="151" t="e">
        <f>D163+D165</f>
        <v>#REF!</v>
      </c>
      <c r="E167" s="151" t="e">
        <f t="shared" ref="E167:O167" si="16">E163+E165</f>
        <v>#REF!</v>
      </c>
      <c r="F167" s="151" t="e">
        <f t="shared" si="16"/>
        <v>#REF!</v>
      </c>
      <c r="G167" s="151" t="e">
        <f t="shared" si="16"/>
        <v>#REF!</v>
      </c>
      <c r="H167" s="151" t="e">
        <f t="shared" si="16"/>
        <v>#REF!</v>
      </c>
      <c r="I167" s="151" t="e">
        <f t="shared" si="16"/>
        <v>#REF!</v>
      </c>
      <c r="J167" s="151" t="e">
        <f t="shared" si="16"/>
        <v>#REF!</v>
      </c>
      <c r="K167" s="151" t="e">
        <f t="shared" si="16"/>
        <v>#REF!</v>
      </c>
      <c r="L167" s="151" t="e">
        <f t="shared" si="16"/>
        <v>#REF!</v>
      </c>
      <c r="M167" s="151" t="e">
        <f t="shared" si="16"/>
        <v>#REF!</v>
      </c>
      <c r="N167" s="151" t="e">
        <f t="shared" si="16"/>
        <v>#REF!</v>
      </c>
      <c r="O167" s="152" t="e">
        <f t="shared" si="16"/>
        <v>#REF!</v>
      </c>
      <c r="P167" s="95"/>
      <c r="Q167" s="95"/>
      <c r="R167" s="95"/>
    </row>
    <row r="168" spans="1:18" s="40" customFormat="1" ht="17" thickBot="1" x14ac:dyDescent="0.25">
      <c r="A168" s="36"/>
      <c r="C168" s="1"/>
      <c r="D168" s="95"/>
      <c r="E168" s="95"/>
      <c r="F168" s="95"/>
      <c r="G168" s="95"/>
      <c r="H168" s="95"/>
      <c r="I168" s="95"/>
      <c r="J168" s="95"/>
      <c r="K168" s="95"/>
      <c r="L168" s="95"/>
      <c r="M168" s="95"/>
      <c r="N168" s="95"/>
      <c r="O168" s="95"/>
      <c r="P168" s="95"/>
      <c r="Q168" s="95"/>
      <c r="R168" s="95"/>
    </row>
    <row r="169" spans="1:18" s="40" customFormat="1" ht="17" thickBot="1" x14ac:dyDescent="0.25">
      <c r="A169" s="74" t="s">
        <v>832</v>
      </c>
      <c r="B169" s="131"/>
      <c r="C169" s="75"/>
      <c r="D169" s="151" t="e">
        <f>D167</f>
        <v>#REF!</v>
      </c>
      <c r="E169" s="151" t="e">
        <f>D169+E167</f>
        <v>#REF!</v>
      </c>
      <c r="F169" s="151" t="e">
        <f t="shared" ref="F169:O169" si="17">E169+F167</f>
        <v>#REF!</v>
      </c>
      <c r="G169" s="151" t="e">
        <f t="shared" si="17"/>
        <v>#REF!</v>
      </c>
      <c r="H169" s="151" t="e">
        <f t="shared" si="17"/>
        <v>#REF!</v>
      </c>
      <c r="I169" s="151" t="e">
        <f t="shared" si="17"/>
        <v>#REF!</v>
      </c>
      <c r="J169" s="151" t="e">
        <f t="shared" si="17"/>
        <v>#REF!</v>
      </c>
      <c r="K169" s="151" t="e">
        <f t="shared" si="17"/>
        <v>#REF!</v>
      </c>
      <c r="L169" s="151" t="e">
        <f t="shared" si="17"/>
        <v>#REF!</v>
      </c>
      <c r="M169" s="151" t="e">
        <f t="shared" si="17"/>
        <v>#REF!</v>
      </c>
      <c r="N169" s="151" t="e">
        <f t="shared" si="17"/>
        <v>#REF!</v>
      </c>
      <c r="O169" s="152" t="e">
        <f t="shared" si="17"/>
        <v>#REF!</v>
      </c>
      <c r="P169" s="95"/>
      <c r="Q169" s="95"/>
      <c r="R169" s="95"/>
    </row>
    <row r="170" spans="1:18" s="40" customFormat="1" x14ac:dyDescent="0.2">
      <c r="A170" s="36"/>
      <c r="C170" s="1"/>
      <c r="D170" s="95"/>
      <c r="E170" s="95"/>
      <c r="F170" s="95"/>
      <c r="G170" s="95"/>
      <c r="H170" s="95"/>
      <c r="I170" s="95"/>
      <c r="J170" s="95"/>
      <c r="K170" s="95"/>
      <c r="L170" s="95"/>
      <c r="M170" s="95"/>
      <c r="N170" s="95"/>
      <c r="O170" s="95"/>
      <c r="P170" s="95"/>
      <c r="Q170" s="95"/>
      <c r="R170" s="95"/>
    </row>
    <row r="171" spans="1:18" s="40" customFormat="1" x14ac:dyDescent="0.2">
      <c r="A171" s="36"/>
      <c r="C171" s="1"/>
      <c r="D171" s="95"/>
      <c r="E171" s="95"/>
      <c r="F171" s="95"/>
      <c r="G171" s="95"/>
      <c r="H171" s="95"/>
      <c r="I171" s="95"/>
      <c r="J171" s="95"/>
      <c r="K171" s="95"/>
      <c r="L171" s="95"/>
      <c r="M171" s="95"/>
      <c r="N171" s="95"/>
      <c r="O171" s="95"/>
      <c r="P171" s="95"/>
      <c r="Q171" s="95"/>
      <c r="R171" s="95"/>
    </row>
    <row r="172" spans="1:18" s="40" customFormat="1" x14ac:dyDescent="0.2">
      <c r="A172" s="36"/>
      <c r="C172" s="1"/>
      <c r="D172" s="95"/>
      <c r="E172" s="95"/>
      <c r="F172" s="95"/>
      <c r="G172" s="95"/>
      <c r="H172" s="95"/>
      <c r="I172" s="95"/>
      <c r="J172" s="95"/>
      <c r="K172" s="95"/>
      <c r="L172" s="95"/>
      <c r="M172" s="95"/>
      <c r="N172" s="95"/>
      <c r="O172" s="95"/>
      <c r="P172" s="95"/>
      <c r="Q172" s="95"/>
      <c r="R172" s="95"/>
    </row>
  </sheetData>
  <pageMargins left="0.25" right="0.25" top="0.5" bottom="0.5" header="0.25" footer="0.25"/>
  <pageSetup scale="53" fitToHeight="3" orientation="landscape" r:id="rId1"/>
  <headerFooter alignWithMargins="0">
    <oddHeader>&amp;A</oddHeader>
    <oddFooter>Page &amp;P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499984740745262"/>
    <pageSetUpPr fitToPage="1"/>
  </sheetPr>
  <dimension ref="A1:X101"/>
  <sheetViews>
    <sheetView workbookViewId="0">
      <pane xSplit="3" ySplit="6" topLeftCell="D7" activePane="bottomRight" state="frozen"/>
      <selection activeCell="V6" sqref="V6"/>
      <selection pane="topRight" activeCell="V6" sqref="V6"/>
      <selection pane="bottomLeft" activeCell="V6" sqref="V6"/>
      <selection pane="bottomRight" activeCell="D12" sqref="D12"/>
    </sheetView>
  </sheetViews>
  <sheetFormatPr baseColWidth="10" defaultColWidth="8.83203125" defaultRowHeight="16" outlineLevelRow="1" x14ac:dyDescent="0.2"/>
  <cols>
    <col min="1" max="1" width="2.1640625" style="6" customWidth="1"/>
    <col min="2" max="2" width="6.6640625" style="7" bestFit="1" customWidth="1"/>
    <col min="3" max="3" width="17.33203125" style="338" customWidth="1"/>
    <col min="4" max="5" width="8.83203125" style="338"/>
    <col min="6" max="6" width="8.83203125" style="7"/>
    <col min="7" max="8" width="14.5" style="7" bestFit="1" customWidth="1"/>
    <col min="9" max="9" width="11.5" style="7" bestFit="1" customWidth="1"/>
    <col min="10" max="10" width="11.5" style="7" customWidth="1"/>
    <col min="11" max="11" width="14.6640625" style="6" bestFit="1" customWidth="1"/>
    <col min="12" max="12" width="17.5" style="7" bestFit="1" customWidth="1"/>
    <col min="13" max="13" width="17" style="6" bestFit="1" customWidth="1"/>
    <col min="14" max="16" width="12.1640625" style="6" customWidth="1"/>
    <col min="17" max="17" width="12.1640625" style="7" customWidth="1"/>
    <col min="18" max="19" width="15.5" style="6" customWidth="1"/>
    <col min="20" max="20" width="19.5" style="6" customWidth="1"/>
    <col min="21" max="21" width="18.5" style="6" customWidth="1"/>
    <col min="22" max="22" width="19.6640625" style="6" customWidth="1"/>
    <col min="23" max="24" width="15.5" style="6" customWidth="1"/>
    <col min="25" max="16384" width="8.83203125" style="6"/>
  </cols>
  <sheetData>
    <row r="1" spans="1:24" ht="20" x14ac:dyDescent="0.2">
      <c r="A1" s="22" t="str">
        <f>'Student Info'!$A$1</f>
        <v>Three Rivers Charter School</v>
      </c>
    </row>
    <row r="2" spans="1:24" ht="18" x14ac:dyDescent="0.2">
      <c r="A2" s="21" t="s">
        <v>726</v>
      </c>
      <c r="G2" s="189">
        <v>0.03</v>
      </c>
      <c r="H2" s="190" t="s">
        <v>925</v>
      </c>
      <c r="M2" s="8">
        <v>0.14430000000000001</v>
      </c>
      <c r="N2" s="348">
        <f>'Employee Input 16-17'!N2</f>
        <v>0.11847000000000001</v>
      </c>
      <c r="O2" s="8">
        <f>'Employee Input 16-17'!O2</f>
        <v>6.25E-2</v>
      </c>
      <c r="P2" s="8">
        <f>'Employee Input 16-17'!P2</f>
        <v>1.4500000000000001E-2</v>
      </c>
      <c r="Q2" s="349">
        <f>+'Employee Input 15-16'!Q2</f>
        <v>500</v>
      </c>
      <c r="R2" s="305"/>
      <c r="S2" s="8">
        <f>'Employee Input 16-17'!S2</f>
        <v>0.02</v>
      </c>
      <c r="T2" s="8">
        <f>'Employee Input 16-17'!T2</f>
        <v>1.2E-2</v>
      </c>
      <c r="V2" s="12">
        <f>(0.08*$K2/1000)+(0.025*$K2/1000)+(0.14%*$K2)+(0.05*$K2/10)</f>
        <v>0</v>
      </c>
    </row>
    <row r="3" spans="1:24" ht="18" x14ac:dyDescent="0.2">
      <c r="A3" s="21" t="str">
        <f>'Student Info'!F7</f>
        <v>2017-18</v>
      </c>
      <c r="M3" s="9" t="s">
        <v>562</v>
      </c>
      <c r="N3" s="9" t="s">
        <v>563</v>
      </c>
      <c r="O3" s="9" t="s">
        <v>931</v>
      </c>
      <c r="P3" s="9" t="s">
        <v>672</v>
      </c>
      <c r="Q3" s="9" t="s">
        <v>566</v>
      </c>
      <c r="R3" s="9"/>
      <c r="S3" s="9" t="s">
        <v>670</v>
      </c>
      <c r="T3" s="9" t="s">
        <v>671</v>
      </c>
      <c r="U3" s="9"/>
      <c r="V3" s="9" t="s">
        <v>938</v>
      </c>
    </row>
    <row r="4" spans="1:24" ht="27" customHeight="1" x14ac:dyDescent="0.2"/>
    <row r="5" spans="1:24" x14ac:dyDescent="0.2">
      <c r="B5" s="13" t="s">
        <v>0</v>
      </c>
      <c r="H5" s="17" t="s">
        <v>677</v>
      </c>
      <c r="I5" s="13" t="s">
        <v>743</v>
      </c>
      <c r="J5" s="18"/>
      <c r="K5" s="17" t="s">
        <v>675</v>
      </c>
      <c r="L5" s="13" t="s">
        <v>730</v>
      </c>
      <c r="M5" s="44" t="s">
        <v>30</v>
      </c>
      <c r="N5" s="44" t="s">
        <v>38</v>
      </c>
      <c r="O5" s="44" t="s">
        <v>927</v>
      </c>
      <c r="P5" s="44" t="s">
        <v>929</v>
      </c>
      <c r="Q5" s="45" t="s">
        <v>564</v>
      </c>
      <c r="R5" s="44" t="s">
        <v>718</v>
      </c>
      <c r="S5" s="44" t="s">
        <v>719</v>
      </c>
      <c r="T5" s="44" t="s">
        <v>720</v>
      </c>
      <c r="U5" s="44" t="s">
        <v>936</v>
      </c>
      <c r="V5" s="44" t="s">
        <v>935</v>
      </c>
      <c r="W5" s="19" t="s">
        <v>673</v>
      </c>
      <c r="X5" s="17" t="s">
        <v>677</v>
      </c>
    </row>
    <row r="6" spans="1:24" ht="17" thickBot="1" x14ac:dyDescent="0.25">
      <c r="A6" s="23"/>
      <c r="B6" s="24"/>
      <c r="C6" s="339" t="s">
        <v>1</v>
      </c>
      <c r="D6" s="339" t="s">
        <v>2</v>
      </c>
      <c r="E6" s="339" t="s">
        <v>4</v>
      </c>
      <c r="F6" s="24" t="s">
        <v>3</v>
      </c>
      <c r="G6" s="24" t="s">
        <v>5</v>
      </c>
      <c r="H6" s="26" t="s">
        <v>740</v>
      </c>
      <c r="I6" s="24" t="s">
        <v>744</v>
      </c>
      <c r="J6" s="24" t="s">
        <v>742</v>
      </c>
      <c r="K6" s="26" t="s">
        <v>676</v>
      </c>
      <c r="L6" s="24" t="s">
        <v>731</v>
      </c>
      <c r="M6" s="27" t="s">
        <v>6</v>
      </c>
      <c r="N6" s="27" t="s">
        <v>7</v>
      </c>
      <c r="O6" s="200" t="s">
        <v>928</v>
      </c>
      <c r="P6" s="200" t="s">
        <v>930</v>
      </c>
      <c r="Q6" s="25" t="s">
        <v>565</v>
      </c>
      <c r="R6" s="27" t="s">
        <v>932</v>
      </c>
      <c r="S6" s="200" t="s">
        <v>933</v>
      </c>
      <c r="T6" s="200" t="s">
        <v>934</v>
      </c>
      <c r="U6" s="27" t="s">
        <v>937</v>
      </c>
      <c r="V6" s="200" t="s">
        <v>940</v>
      </c>
      <c r="W6" s="28" t="s">
        <v>674</v>
      </c>
      <c r="X6" s="26" t="s">
        <v>676</v>
      </c>
    </row>
    <row r="7" spans="1:24" x14ac:dyDescent="0.2">
      <c r="B7" s="14">
        <f>IF('Employee Input 16-17'!B7="","",'Employee Input 16-17'!B7)</f>
        <v>1100</v>
      </c>
      <c r="C7" s="340" t="str">
        <f>IF('Employee Input 16-17'!C7="","",'Employee Input 16-17'!C7)</f>
        <v>Kathleen Kasperson</v>
      </c>
      <c r="D7" s="340" t="str">
        <f>IF('Employee Input 16-17'!D7="","",'Employee Input 16-17'!D7)</f>
        <v>Teacher</v>
      </c>
      <c r="E7" s="340" t="str">
        <f>IF('Employee Input 16-17'!E7="","",'Employee Input 16-17'!E7)</f>
        <v>Education</v>
      </c>
      <c r="F7" s="14">
        <f>IF('Employee Input 16-17'!F7="","",'Employee Input 16-17'!F7)</f>
        <v>1</v>
      </c>
      <c r="G7" s="300">
        <f>IF('Employee Input 16-17'!G7="","",'Employee Input 16-17'!G7*(1+$G$2))</f>
        <v>51659.65</v>
      </c>
      <c r="H7" s="10">
        <f>IF(F7="","",F7*G7)</f>
        <v>51659.65</v>
      </c>
      <c r="I7" s="11">
        <f>IF('Employee Input 16-17'!I7="","",'Employee Input 16-17'!I7)</f>
        <v>0</v>
      </c>
      <c r="J7" s="11">
        <f>IF('Employee Input 16-17'!J7="","",'Employee Input 16-17'!J7)</f>
        <v>0</v>
      </c>
      <c r="K7" s="10">
        <f>SUM(H7:J7)</f>
        <v>51659.65</v>
      </c>
      <c r="L7" s="16" t="str">
        <f>IF('Employee Input 16-17'!L7="","",'Employee Input 16-17'!L7)</f>
        <v>STRS</v>
      </c>
      <c r="M7" s="10">
        <f>IF($L7="STRS",$M$2*$K7,"")</f>
        <v>7454.4874950000012</v>
      </c>
      <c r="N7" s="10" t="str">
        <f>IF($L7="PERS",$N$2*$K7,"")</f>
        <v/>
      </c>
      <c r="O7" s="10" t="str">
        <f>IF($L7="STRS","",$O$2*$K7)</f>
        <v/>
      </c>
      <c r="P7" s="10">
        <f>$P$2*K7</f>
        <v>749.06492500000002</v>
      </c>
      <c r="Q7" s="351">
        <f>+$Q$2</f>
        <v>500</v>
      </c>
      <c r="R7" s="12">
        <f>+'Employee Input 16-17'!R7</f>
        <v>12900</v>
      </c>
      <c r="S7" s="12">
        <f>+K7*$S$2</f>
        <v>1033.193</v>
      </c>
      <c r="T7" s="12">
        <f>+K7*$T$2</f>
        <v>619.91579999999999</v>
      </c>
      <c r="U7" s="12"/>
      <c r="V7" s="12"/>
      <c r="W7" s="12">
        <f>SUM(R7:V7,M7:P7)</f>
        <v>22756.661220000002</v>
      </c>
      <c r="X7" s="12">
        <f>W7+K7</f>
        <v>74416.311220000003</v>
      </c>
    </row>
    <row r="8" spans="1:24" x14ac:dyDescent="0.2">
      <c r="B8" s="14">
        <f>IF('Employee Input 16-17'!B8="","",'Employee Input 16-17'!B8)</f>
        <v>1100</v>
      </c>
      <c r="C8" s="340" t="str">
        <f>IF('Employee Input 16-17'!C8="","",'Employee Input 16-17'!C8)</f>
        <v>Natalie Shoptaw</v>
      </c>
      <c r="D8" s="340" t="str">
        <f>IF('Employee Input 16-17'!D8="","",'Employee Input 16-17'!D8)</f>
        <v>Teacher</v>
      </c>
      <c r="E8" s="340" t="str">
        <f>IF('Employee Input 16-17'!E8="","",'Employee Input 16-17'!E8)</f>
        <v>Education</v>
      </c>
      <c r="F8" s="14">
        <f>IF('Employee Input 16-17'!F8="","",'Employee Input 16-17'!F8)</f>
        <v>1</v>
      </c>
      <c r="G8" s="300">
        <f>IF('Employee Input 16-17'!G8="","",'Employee Input 16-17'!G8*(1+$G$2))</f>
        <v>44561.919999999998</v>
      </c>
      <c r="H8" s="10">
        <f t="shared" ref="H8:H17" si="0">IF(F8="","",F8*G8)</f>
        <v>44561.919999999998</v>
      </c>
      <c r="I8" s="11">
        <f>IF('Employee Input 16-17'!I8="","",'Employee Input 16-17'!I8)</f>
        <v>1500</v>
      </c>
      <c r="J8" s="11">
        <f>IF('Employee Input 16-17'!J8="","",'Employee Input 16-17'!J8)</f>
        <v>0</v>
      </c>
      <c r="K8" s="10">
        <f t="shared" ref="K8:K17" si="1">SUM(H8:J8)</f>
        <v>46061.919999999998</v>
      </c>
      <c r="L8" s="16" t="str">
        <f>IF('Employee Input 16-17'!L8="","",'Employee Input 16-17'!L8)</f>
        <v>STRS</v>
      </c>
      <c r="M8" s="10">
        <f t="shared" ref="M8:M25" si="2">IF($L8="STRS",$M$2*$K8,"")</f>
        <v>6646.7350560000004</v>
      </c>
      <c r="N8" s="10" t="str">
        <f t="shared" ref="N8:N25" si="3">IF($L8="PERS",$N$2*$K8,"")</f>
        <v/>
      </c>
      <c r="O8" s="10" t="str">
        <f t="shared" ref="O8:O25" si="4">IF($L8="STRS","",$O$2*$K8)</f>
        <v/>
      </c>
      <c r="P8" s="10">
        <f t="shared" ref="P8:P17" si="5">$P$2*K8</f>
        <v>667.89783999999997</v>
      </c>
      <c r="Q8" s="351">
        <f t="shared" ref="Q8:Q25" si="6">+$Q$2</f>
        <v>500</v>
      </c>
      <c r="R8" s="12">
        <f>+'Employee Input 16-17'!R8</f>
        <v>12900</v>
      </c>
      <c r="S8" s="12">
        <f t="shared" ref="S8:S17" si="7">+K8*$S$2</f>
        <v>921.23839999999996</v>
      </c>
      <c r="T8" s="12">
        <f t="shared" ref="T8:T17" si="8">+K8*$T$2</f>
        <v>552.74303999999995</v>
      </c>
      <c r="U8" s="12"/>
      <c r="V8" s="12"/>
      <c r="W8" s="12">
        <f t="shared" ref="W8:W17" si="9">SUM(R8:V8,M8:P8)</f>
        <v>21688.614336000002</v>
      </c>
      <c r="X8" s="12">
        <f t="shared" ref="X8:X17" si="10">W8+K8</f>
        <v>67750.534335999997</v>
      </c>
    </row>
    <row r="9" spans="1:24" x14ac:dyDescent="0.2">
      <c r="B9" s="14">
        <f>IF('Employee Input 16-17'!B9="","",'Employee Input 16-17'!B9)</f>
        <v>1100</v>
      </c>
      <c r="C9" s="340" t="str">
        <f>IF('Employee Input 16-17'!C9="","",'Employee Input 16-17'!C9)</f>
        <v>Samantha Walz</v>
      </c>
      <c r="D9" s="340" t="str">
        <f>IF('Employee Input 16-17'!D9="","",'Employee Input 16-17'!D9)</f>
        <v>Teacher</v>
      </c>
      <c r="E9" s="340" t="str">
        <f>IF('Employee Input 16-17'!E9="","",'Employee Input 16-17'!E9)</f>
        <v>Education</v>
      </c>
      <c r="F9" s="14">
        <f>IF('Employee Input 16-17'!F9="","",'Employee Input 16-17'!F9)</f>
        <v>1</v>
      </c>
      <c r="G9" s="300">
        <f>IF('Employee Input 16-17'!G9="","",'Employee Input 16-17'!G9*(1+$G$2))</f>
        <v>50154.82</v>
      </c>
      <c r="H9" s="10">
        <f t="shared" si="0"/>
        <v>50154.82</v>
      </c>
      <c r="I9" s="11">
        <f>IF('Employee Input 16-17'!I9="","",'Employee Input 16-17'!I9)</f>
        <v>0</v>
      </c>
      <c r="J9" s="11">
        <f>IF('Employee Input 16-17'!J9="","",'Employee Input 16-17'!J9)</f>
        <v>0</v>
      </c>
      <c r="K9" s="10">
        <f t="shared" si="1"/>
        <v>50154.82</v>
      </c>
      <c r="L9" s="16" t="str">
        <f>IF('Employee Input 16-17'!L9="","",'Employee Input 16-17'!L9)</f>
        <v>STRS</v>
      </c>
      <c r="M9" s="10">
        <f t="shared" si="2"/>
        <v>7237.3405260000009</v>
      </c>
      <c r="N9" s="10" t="str">
        <f t="shared" si="3"/>
        <v/>
      </c>
      <c r="O9" s="10" t="str">
        <f t="shared" si="4"/>
        <v/>
      </c>
      <c r="P9" s="10">
        <f t="shared" si="5"/>
        <v>727.24489000000005</v>
      </c>
      <c r="Q9" s="351">
        <f t="shared" si="6"/>
        <v>500</v>
      </c>
      <c r="R9" s="12">
        <f>+'Employee Input 16-17'!R9</f>
        <v>10500</v>
      </c>
      <c r="S9" s="12">
        <f t="shared" si="7"/>
        <v>1003.0964</v>
      </c>
      <c r="T9" s="12">
        <f t="shared" si="8"/>
        <v>601.85784000000001</v>
      </c>
      <c r="U9" s="12"/>
      <c r="V9" s="12"/>
      <c r="W9" s="12">
        <f t="shared" si="9"/>
        <v>20069.539656000004</v>
      </c>
      <c r="X9" s="12">
        <f t="shared" si="10"/>
        <v>70224.359656000001</v>
      </c>
    </row>
    <row r="10" spans="1:24" x14ac:dyDescent="0.2">
      <c r="B10" s="14">
        <f>IF('Employee Input 16-17'!B10="","",'Employee Input 16-17'!B10)</f>
        <v>1100</v>
      </c>
      <c r="C10" s="340" t="str">
        <f>IF('Employee Input 16-17'!C10="","",'Employee Input 16-17'!C10)</f>
        <v>Maragret Normoyle</v>
      </c>
      <c r="D10" s="340" t="str">
        <f>IF('Employee Input 16-17'!D10="","",'Employee Input 16-17'!D10)</f>
        <v>Teacher</v>
      </c>
      <c r="E10" s="340" t="str">
        <f>IF('Employee Input 16-17'!E10="","",'Employee Input 16-17'!E10)</f>
        <v>Education</v>
      </c>
      <c r="F10" s="14">
        <f>IF('Employee Input 16-17'!F10="","",'Employee Input 16-17'!F10)</f>
        <v>1</v>
      </c>
      <c r="G10" s="300">
        <f>IF('Employee Input 16-17'!G10="","",'Employee Input 16-17'!G10*(1+$G$2))</f>
        <v>47275.97</v>
      </c>
      <c r="H10" s="10">
        <f t="shared" si="0"/>
        <v>47275.97</v>
      </c>
      <c r="I10" s="11">
        <f>IF('Employee Input 16-17'!I10="","",'Employee Input 16-17'!I10)</f>
        <v>0</v>
      </c>
      <c r="J10" s="11">
        <f>IF('Employee Input 16-17'!J10="","",'Employee Input 16-17'!J10)</f>
        <v>0</v>
      </c>
      <c r="K10" s="10">
        <f t="shared" si="1"/>
        <v>47275.97</v>
      </c>
      <c r="L10" s="16" t="str">
        <f>IF('Employee Input 16-17'!L10="","",'Employee Input 16-17'!L10)</f>
        <v>STRS</v>
      </c>
      <c r="M10" s="10">
        <f t="shared" si="2"/>
        <v>6821.9224710000008</v>
      </c>
      <c r="N10" s="10" t="str">
        <f t="shared" si="3"/>
        <v/>
      </c>
      <c r="O10" s="10" t="str">
        <f t="shared" si="4"/>
        <v/>
      </c>
      <c r="P10" s="10">
        <f t="shared" si="5"/>
        <v>685.50156500000003</v>
      </c>
      <c r="Q10" s="351">
        <f t="shared" si="6"/>
        <v>500</v>
      </c>
      <c r="R10" s="12">
        <f>+'Employee Input 16-17'!R10</f>
        <v>12900</v>
      </c>
      <c r="S10" s="12">
        <f t="shared" si="7"/>
        <v>945.51940000000002</v>
      </c>
      <c r="T10" s="12">
        <f t="shared" si="8"/>
        <v>567.31164000000001</v>
      </c>
      <c r="U10" s="12"/>
      <c r="V10" s="12"/>
      <c r="W10" s="12">
        <f t="shared" si="9"/>
        <v>21920.255075999998</v>
      </c>
      <c r="X10" s="12">
        <f t="shared" si="10"/>
        <v>69196.225076000002</v>
      </c>
    </row>
    <row r="11" spans="1:24" x14ac:dyDescent="0.2">
      <c r="B11" s="14">
        <f>IF('Employee Input 16-17'!B11="","",'Employee Input 16-17'!B11)</f>
        <v>1100</v>
      </c>
      <c r="C11" s="340" t="str">
        <f>IF('Employee Input 16-17'!C11="","",'Employee Input 16-17'!C11)</f>
        <v>Kim Morgan</v>
      </c>
      <c r="D11" s="340" t="str">
        <f>IF('Employee Input 16-17'!D11="","",'Employee Input 16-17'!D11)</f>
        <v>Teacher</v>
      </c>
      <c r="E11" s="340" t="str">
        <f>IF('Employee Input 16-17'!E11="","",'Employee Input 16-17'!E11)</f>
        <v>Education</v>
      </c>
      <c r="F11" s="14">
        <f>IF('Employee Input 16-17'!F11="","",'Employee Input 16-17'!F11)</f>
        <v>1</v>
      </c>
      <c r="G11" s="300">
        <f>IF('Employee Input 16-17'!G11="","",'Employee Input 16-17'!G11*(1+$G$2))</f>
        <v>50154.82</v>
      </c>
      <c r="H11" s="10">
        <f t="shared" si="0"/>
        <v>50154.82</v>
      </c>
      <c r="I11" s="11">
        <f>IF('Employee Input 16-17'!I11="","",'Employee Input 16-17'!I11)</f>
        <v>0</v>
      </c>
      <c r="J11" s="11">
        <f>IF('Employee Input 16-17'!J11="","",'Employee Input 16-17'!J11)</f>
        <v>0</v>
      </c>
      <c r="K11" s="10">
        <f t="shared" si="1"/>
        <v>50154.82</v>
      </c>
      <c r="L11" s="16" t="str">
        <f>IF('Employee Input 16-17'!L11="","",'Employee Input 16-17'!L11)</f>
        <v>STRS</v>
      </c>
      <c r="M11" s="10">
        <f t="shared" si="2"/>
        <v>7237.3405260000009</v>
      </c>
      <c r="N11" s="10" t="str">
        <f t="shared" si="3"/>
        <v/>
      </c>
      <c r="O11" s="10" t="str">
        <f t="shared" si="4"/>
        <v/>
      </c>
      <c r="P11" s="10">
        <f t="shared" si="5"/>
        <v>727.24489000000005</v>
      </c>
      <c r="Q11" s="351">
        <f t="shared" si="6"/>
        <v>500</v>
      </c>
      <c r="R11" s="12">
        <f>+'Employee Input 16-17'!R11</f>
        <v>12900</v>
      </c>
      <c r="S11" s="12">
        <f t="shared" si="7"/>
        <v>1003.0964</v>
      </c>
      <c r="T11" s="12">
        <f t="shared" si="8"/>
        <v>601.85784000000001</v>
      </c>
      <c r="U11" s="12"/>
      <c r="V11" s="12"/>
      <c r="W11" s="12">
        <f t="shared" si="9"/>
        <v>22469.539656000004</v>
      </c>
      <c r="X11" s="12">
        <f t="shared" si="10"/>
        <v>72624.359656000001</v>
      </c>
    </row>
    <row r="12" spans="1:24" x14ac:dyDescent="0.2">
      <c r="B12" s="14">
        <f>IF('Employee Input 16-17'!B12="","",'Employee Input 16-17'!B12)</f>
        <v>1120</v>
      </c>
      <c r="C12" s="340" t="str">
        <f>IF('Employee Input 16-17'!C12="","",'Employee Input 16-17'!C12)</f>
        <v>Subs</v>
      </c>
      <c r="D12" s="340">
        <f>IF('Employee Input 16-17'!D12="","",'Employee Input 16-17'!D12)</f>
        <v>0</v>
      </c>
      <c r="E12" s="340" t="str">
        <f>IF('Employee Input 16-17'!E12="","",'Employee Input 16-17'!E12)</f>
        <v>Education</v>
      </c>
      <c r="F12" s="14">
        <f>IF('Employee Input 16-17'!F12="","",'Employee Input 16-17'!F12)</f>
        <v>1</v>
      </c>
      <c r="G12" s="300">
        <f>IF('Employee Input 16-17'!G12="","",'Employee Input 16-17'!G12*(1+$G$2))</f>
        <v>1648</v>
      </c>
      <c r="H12" s="10">
        <f t="shared" si="0"/>
        <v>1648</v>
      </c>
      <c r="I12" s="11">
        <f>IF('Employee Input 16-17'!I12="","",'Employee Input 16-17'!I12)</f>
        <v>0</v>
      </c>
      <c r="J12" s="11">
        <f>IF('Employee Input 16-17'!J12="","",'Employee Input 16-17'!J12)</f>
        <v>0</v>
      </c>
      <c r="K12" s="10">
        <f t="shared" si="1"/>
        <v>1648</v>
      </c>
      <c r="L12" s="16" t="str">
        <f>IF('Employee Input 16-17'!L12="","",'Employee Input 16-17'!L12)</f>
        <v>STRS</v>
      </c>
      <c r="M12" s="10">
        <f t="shared" si="2"/>
        <v>237.80640000000002</v>
      </c>
      <c r="N12" s="10" t="str">
        <f t="shared" si="3"/>
        <v/>
      </c>
      <c r="O12" s="10" t="str">
        <f t="shared" si="4"/>
        <v/>
      </c>
      <c r="P12" s="10">
        <f t="shared" si="5"/>
        <v>23.896000000000001</v>
      </c>
      <c r="Q12" s="351">
        <f t="shared" si="6"/>
        <v>500</v>
      </c>
      <c r="R12" s="12">
        <f>+'Employee Input 16-17'!R12</f>
        <v>0</v>
      </c>
      <c r="S12" s="12">
        <f t="shared" si="7"/>
        <v>32.96</v>
      </c>
      <c r="T12" s="12">
        <f t="shared" si="8"/>
        <v>19.776</v>
      </c>
      <c r="U12" s="12"/>
      <c r="V12" s="12"/>
      <c r="W12" s="12">
        <f t="shared" si="9"/>
        <v>314.43840000000006</v>
      </c>
      <c r="X12" s="12">
        <f t="shared" si="10"/>
        <v>1962.4384</v>
      </c>
    </row>
    <row r="13" spans="1:24" x14ac:dyDescent="0.2">
      <c r="B13" s="14">
        <f>IF('Employee Input 16-17'!B13="","",'Employee Input 16-17'!B13)</f>
        <v>1300</v>
      </c>
      <c r="C13" s="340" t="str">
        <f>IF('Employee Input 16-17'!C13="","",'Employee Input 16-17'!C13)</f>
        <v>Roger Coy</v>
      </c>
      <c r="D13" s="340" t="str">
        <f>IF('Employee Input 16-17'!D13="","",'Employee Input 16-17'!D13)</f>
        <v>School Director</v>
      </c>
      <c r="E13" s="340" t="str">
        <f>IF('Employee Input 16-17'!E13="","",'Employee Input 16-17'!E13)</f>
        <v>Support</v>
      </c>
      <c r="F13" s="14">
        <f>IF('Employee Input 16-17'!F13="","",'Employee Input 16-17'!F13)</f>
        <v>1</v>
      </c>
      <c r="G13" s="300">
        <f>IF('Employee Input 16-17'!G13="","",'Employee Input 16-17'!G13*(1+$G$2))</f>
        <v>66950</v>
      </c>
      <c r="H13" s="10">
        <f t="shared" si="0"/>
        <v>66950</v>
      </c>
      <c r="I13" s="11">
        <f>IF('Employee Input 16-17'!I13="","",'Employee Input 16-17'!I13)</f>
        <v>1500</v>
      </c>
      <c r="J13" s="11">
        <f>IF('Employee Input 16-17'!J13="","",'Employee Input 16-17'!J13)</f>
        <v>0</v>
      </c>
      <c r="K13" s="10">
        <f t="shared" si="1"/>
        <v>68450</v>
      </c>
      <c r="L13" s="16" t="str">
        <f>IF('Employee Input 16-17'!L13="","",'Employee Input 16-17'!L13)</f>
        <v>STRS</v>
      </c>
      <c r="M13" s="10">
        <f t="shared" si="2"/>
        <v>9877.3350000000009</v>
      </c>
      <c r="N13" s="10" t="str">
        <f t="shared" si="3"/>
        <v/>
      </c>
      <c r="O13" s="10" t="str">
        <f t="shared" si="4"/>
        <v/>
      </c>
      <c r="P13" s="10">
        <f t="shared" si="5"/>
        <v>992.52500000000009</v>
      </c>
      <c r="Q13" s="351">
        <f t="shared" si="6"/>
        <v>500</v>
      </c>
      <c r="R13" s="12">
        <f>+'Employee Input 16-17'!R13</f>
        <v>10500</v>
      </c>
      <c r="S13" s="12">
        <f t="shared" si="7"/>
        <v>1369</v>
      </c>
      <c r="T13" s="12">
        <f t="shared" si="8"/>
        <v>821.4</v>
      </c>
      <c r="U13" s="12"/>
      <c r="V13" s="12"/>
      <c r="W13" s="12">
        <f t="shared" si="9"/>
        <v>23560.260000000002</v>
      </c>
      <c r="X13" s="12">
        <f t="shared" si="10"/>
        <v>92010.260000000009</v>
      </c>
    </row>
    <row r="14" spans="1:24" x14ac:dyDescent="0.2">
      <c r="B14" s="14">
        <f>IF('Employee Input 16-17'!B14="","",'Employee Input 16-17'!B14)</f>
        <v>2100</v>
      </c>
      <c r="C14" s="340" t="str">
        <f>IF('Employee Input 16-17'!C14="","",'Employee Input 16-17'!C14)</f>
        <v>3-4 Aide</v>
      </c>
      <c r="D14" s="340" t="str">
        <f>IF('Employee Input 16-17'!D14="","",'Employee Input 16-17'!D14)</f>
        <v>Instructional Aide #1</v>
      </c>
      <c r="E14" s="340" t="str">
        <f>IF('Employee Input 16-17'!E14="","",'Employee Input 16-17'!E14)</f>
        <v>Education</v>
      </c>
      <c r="F14" s="14">
        <f>IF('Employee Input 16-17'!F14="","",'Employee Input 16-17'!F14)</f>
        <v>1</v>
      </c>
      <c r="G14" s="300">
        <f>IF('Employee Input 16-17'!G14="","",'Employee Input 16-17'!G14*(1+$G$2))</f>
        <v>14605.4</v>
      </c>
      <c r="H14" s="10">
        <f t="shared" si="0"/>
        <v>14605.4</v>
      </c>
      <c r="I14" s="11">
        <f>IF('Employee Input 16-17'!I14="","",'Employee Input 16-17'!I14)</f>
        <v>0</v>
      </c>
      <c r="J14" s="11">
        <f>IF('Employee Input 16-17'!J14="","",'Employee Input 16-17'!J14)</f>
        <v>0</v>
      </c>
      <c r="K14" s="10">
        <f t="shared" si="1"/>
        <v>14605.4</v>
      </c>
      <c r="L14" s="16">
        <f>IF('Employee Input 16-17'!L14="","",'Employee Input 16-17'!L14)</f>
        <v>0</v>
      </c>
      <c r="M14" s="10" t="str">
        <f t="shared" si="2"/>
        <v/>
      </c>
      <c r="N14" s="10" t="str">
        <f t="shared" si="3"/>
        <v/>
      </c>
      <c r="O14" s="10">
        <f t="shared" si="4"/>
        <v>912.83749999999998</v>
      </c>
      <c r="P14" s="10">
        <f t="shared" si="5"/>
        <v>211.7783</v>
      </c>
      <c r="Q14" s="351">
        <f t="shared" si="6"/>
        <v>500</v>
      </c>
      <c r="R14" s="12">
        <f>+'Employee Input 16-17'!R14</f>
        <v>0</v>
      </c>
      <c r="S14" s="12">
        <f t="shared" si="7"/>
        <v>292.108</v>
      </c>
      <c r="T14" s="12">
        <f t="shared" si="8"/>
        <v>175.26480000000001</v>
      </c>
      <c r="U14" s="12"/>
      <c r="V14" s="12"/>
      <c r="W14" s="12">
        <f t="shared" si="9"/>
        <v>1591.9885999999999</v>
      </c>
      <c r="X14" s="12">
        <f t="shared" si="10"/>
        <v>16197.3886</v>
      </c>
    </row>
    <row r="15" spans="1:24" x14ac:dyDescent="0.2">
      <c r="B15" s="14">
        <f>IF('Employee Input 16-17'!B15="","",'Employee Input 16-17'!B15)</f>
        <v>2100</v>
      </c>
      <c r="C15" s="340" t="str">
        <f>IF('Employee Input 16-17'!C15="","",'Employee Input 16-17'!C15)</f>
        <v>7-12 Aide</v>
      </c>
      <c r="D15" s="340" t="str">
        <f>IF('Employee Input 16-17'!D15="","",'Employee Input 16-17'!D15)</f>
        <v>Instructional Aide #2</v>
      </c>
      <c r="E15" s="340" t="str">
        <f>IF('Employee Input 16-17'!E15="","",'Employee Input 16-17'!E15)</f>
        <v>Education</v>
      </c>
      <c r="F15" s="14">
        <f>IF('Employee Input 16-17'!F15="","",'Employee Input 16-17'!F15)</f>
        <v>1</v>
      </c>
      <c r="G15" s="300">
        <f>IF('Employee Input 16-17'!G15="","",'Employee Input 16-17'!G15*(1+$G$2))</f>
        <v>14605.4</v>
      </c>
      <c r="H15" s="10">
        <f t="shared" si="0"/>
        <v>14605.4</v>
      </c>
      <c r="I15" s="11">
        <f>IF('Employee Input 16-17'!I15="","",'Employee Input 16-17'!I15)</f>
        <v>0</v>
      </c>
      <c r="J15" s="11">
        <f>IF('Employee Input 16-17'!J15="","",'Employee Input 16-17'!J15)</f>
        <v>0</v>
      </c>
      <c r="K15" s="10">
        <f t="shared" si="1"/>
        <v>14605.4</v>
      </c>
      <c r="L15" s="16">
        <f>IF('Employee Input 16-17'!L15="","",'Employee Input 16-17'!L15)</f>
        <v>0</v>
      </c>
      <c r="M15" s="10" t="str">
        <f t="shared" si="2"/>
        <v/>
      </c>
      <c r="N15" s="10" t="str">
        <f t="shared" si="3"/>
        <v/>
      </c>
      <c r="O15" s="10">
        <f t="shared" si="4"/>
        <v>912.83749999999998</v>
      </c>
      <c r="P15" s="10">
        <f t="shared" si="5"/>
        <v>211.7783</v>
      </c>
      <c r="Q15" s="351">
        <f t="shared" si="6"/>
        <v>500</v>
      </c>
      <c r="R15" s="12">
        <f>+'Employee Input 16-17'!R15</f>
        <v>0</v>
      </c>
      <c r="S15" s="12">
        <f t="shared" si="7"/>
        <v>292.108</v>
      </c>
      <c r="T15" s="12">
        <f t="shared" si="8"/>
        <v>175.26480000000001</v>
      </c>
      <c r="U15" s="12"/>
      <c r="V15" s="12"/>
      <c r="W15" s="12">
        <f t="shared" si="9"/>
        <v>1591.9885999999999</v>
      </c>
      <c r="X15" s="12">
        <f t="shared" si="10"/>
        <v>16197.3886</v>
      </c>
    </row>
    <row r="16" spans="1:24" x14ac:dyDescent="0.2">
      <c r="B16" s="14">
        <f>IF('Employee Input 16-17'!B16="","",'Employee Input 16-17'!B16)</f>
        <v>2100</v>
      </c>
      <c r="C16" s="340" t="str">
        <f>IF('Employee Input 16-17'!C16="","",'Employee Input 16-17'!C16)</f>
        <v>5-6 Aide</v>
      </c>
      <c r="D16" s="340" t="str">
        <f>IF('Employee Input 16-17'!D16="","",'Employee Input 16-17'!D16)</f>
        <v>Instructional Aide</v>
      </c>
      <c r="E16" s="340" t="str">
        <f>IF('Employee Input 16-17'!E16="","",'Employee Input 16-17'!E16)</f>
        <v>Education</v>
      </c>
      <c r="F16" s="14">
        <f>IF('Employee Input 16-17'!F16="","",'Employee Input 16-17'!F16)</f>
        <v>1</v>
      </c>
      <c r="G16" s="300">
        <f>IF('Employee Input 16-17'!G16="","",'Employee Input 16-17'!G16*(1+$G$2))</f>
        <v>14605.4</v>
      </c>
      <c r="H16" s="10">
        <f t="shared" si="0"/>
        <v>14605.4</v>
      </c>
      <c r="I16" s="11">
        <f>IF('Employee Input 16-17'!I16="","",'Employee Input 16-17'!I16)</f>
        <v>0</v>
      </c>
      <c r="J16" s="11">
        <f>IF('Employee Input 16-17'!J16="","",'Employee Input 16-17'!J16)</f>
        <v>0</v>
      </c>
      <c r="K16" s="10">
        <f t="shared" si="1"/>
        <v>14605.4</v>
      </c>
      <c r="L16" s="16">
        <f>IF('Employee Input 16-17'!L16="","",'Employee Input 16-17'!L16)</f>
        <v>0</v>
      </c>
      <c r="M16" s="10" t="str">
        <f t="shared" si="2"/>
        <v/>
      </c>
      <c r="N16" s="10" t="str">
        <f t="shared" si="3"/>
        <v/>
      </c>
      <c r="O16" s="10">
        <f t="shared" si="4"/>
        <v>912.83749999999998</v>
      </c>
      <c r="P16" s="10">
        <f t="shared" si="5"/>
        <v>211.7783</v>
      </c>
      <c r="Q16" s="351">
        <f t="shared" si="6"/>
        <v>500</v>
      </c>
      <c r="R16" s="12">
        <f>+'Employee Input 16-17'!R16</f>
        <v>0</v>
      </c>
      <c r="S16" s="12">
        <f t="shared" si="7"/>
        <v>292.108</v>
      </c>
      <c r="T16" s="12">
        <f t="shared" si="8"/>
        <v>175.26480000000001</v>
      </c>
      <c r="U16" s="12"/>
      <c r="V16" s="12"/>
      <c r="W16" s="12">
        <f t="shared" si="9"/>
        <v>1591.9885999999999</v>
      </c>
      <c r="X16" s="12">
        <f t="shared" si="10"/>
        <v>16197.3886</v>
      </c>
    </row>
    <row r="17" spans="2:24" x14ac:dyDescent="0.2">
      <c r="B17" s="14">
        <f>IF('Employee Input 16-17'!B17="","",'Employee Input 16-17'!B17)</f>
        <v>2100</v>
      </c>
      <c r="C17" s="340" t="str">
        <f>IF('Employee Input 16-17'!C17="","",'Employee Input 16-17'!C17)</f>
        <v>Sarah Haye</v>
      </c>
      <c r="D17" s="340" t="str">
        <f>IF('Employee Input 16-17'!D17="","",'Employee Input 16-17'!D17)</f>
        <v>Instructional Aide</v>
      </c>
      <c r="E17" s="340" t="str">
        <f>IF('Employee Input 16-17'!E17="","",'Employee Input 16-17'!E17)</f>
        <v>Education</v>
      </c>
      <c r="F17" s="14">
        <f>IF('Employee Input 16-17'!F17="","",'Employee Input 16-17'!F17)</f>
        <v>1</v>
      </c>
      <c r="G17" s="300">
        <f>IF('Employee Input 16-17'!G17="","",'Employee Input 16-17'!G17*(1+$G$2))</f>
        <v>14605.4</v>
      </c>
      <c r="H17" s="10">
        <f t="shared" si="0"/>
        <v>14605.4</v>
      </c>
      <c r="I17" s="11">
        <f>IF('Employee Input 16-17'!I17="","",'Employee Input 16-17'!I17)</f>
        <v>0</v>
      </c>
      <c r="J17" s="11">
        <f>IF('Employee Input 16-17'!J17="","",'Employee Input 16-17'!J17)</f>
        <v>0</v>
      </c>
      <c r="K17" s="10">
        <f t="shared" si="1"/>
        <v>14605.4</v>
      </c>
      <c r="L17" s="16">
        <f>IF('Employee Input 16-17'!L17="","",'Employee Input 16-17'!L17)</f>
        <v>0</v>
      </c>
      <c r="M17" s="10" t="str">
        <f t="shared" si="2"/>
        <v/>
      </c>
      <c r="N17" s="10" t="str">
        <f t="shared" si="3"/>
        <v/>
      </c>
      <c r="O17" s="10">
        <f t="shared" si="4"/>
        <v>912.83749999999998</v>
      </c>
      <c r="P17" s="10">
        <f t="shared" si="5"/>
        <v>211.7783</v>
      </c>
      <c r="Q17" s="351">
        <f t="shared" si="6"/>
        <v>500</v>
      </c>
      <c r="R17" s="12">
        <f>+'Employee Input 16-17'!R17</f>
        <v>0</v>
      </c>
      <c r="S17" s="12">
        <f t="shared" si="7"/>
        <v>292.108</v>
      </c>
      <c r="T17" s="12">
        <f t="shared" si="8"/>
        <v>175.26480000000001</v>
      </c>
      <c r="U17" s="12"/>
      <c r="V17" s="12"/>
      <c r="W17" s="12">
        <f t="shared" si="9"/>
        <v>1591.9885999999999</v>
      </c>
      <c r="X17" s="12">
        <f t="shared" si="10"/>
        <v>16197.3886</v>
      </c>
    </row>
    <row r="18" spans="2:24" x14ac:dyDescent="0.2">
      <c r="B18" s="14">
        <f>IF('Employee Input 16-17'!B18="","",'Employee Input 16-17'!B18)</f>
        <v>2100</v>
      </c>
      <c r="C18" s="340" t="str">
        <f>IF('Employee Input 16-17'!C18="","",'Employee Input 16-17'!C18)</f>
        <v>Bre Goetson</v>
      </c>
      <c r="D18" s="340" t="str">
        <f>IF('Employee Input 16-17'!D18="","",'Employee Input 16-17'!D18)</f>
        <v>Instructional Aide</v>
      </c>
      <c r="E18" s="340" t="str">
        <f>IF('Employee Input 16-17'!E18="","",'Employee Input 16-17'!E18)</f>
        <v>Education</v>
      </c>
      <c r="F18" s="14">
        <f>IF('Employee Input 16-17'!F18="","",'Employee Input 16-17'!F18)</f>
        <v>1</v>
      </c>
      <c r="G18" s="300">
        <f>IF('Employee Input 16-17'!G18="","",'Employee Input 16-17'!G18*(1+$G$2))</f>
        <v>10300</v>
      </c>
      <c r="H18" s="10">
        <f t="shared" ref="H18:H25" si="11">IF(F18="","",F18*G18)</f>
        <v>10300</v>
      </c>
      <c r="I18" s="11">
        <f>IF('Employee Input 16-17'!I18="","",'Employee Input 16-17'!I18)</f>
        <v>0</v>
      </c>
      <c r="J18" s="11">
        <f>IF('Employee Input 16-17'!J18="","",'Employee Input 16-17'!J18)</f>
        <v>0</v>
      </c>
      <c r="K18" s="10">
        <f t="shared" ref="K18:K25" si="12">SUM(H18:J18)</f>
        <v>10300</v>
      </c>
      <c r="L18" s="16">
        <f>IF('Employee Input 16-17'!L18="","",'Employee Input 16-17'!L18)</f>
        <v>0</v>
      </c>
      <c r="M18" s="10" t="str">
        <f t="shared" si="2"/>
        <v/>
      </c>
      <c r="N18" s="10" t="str">
        <f t="shared" si="3"/>
        <v/>
      </c>
      <c r="O18" s="10">
        <f t="shared" si="4"/>
        <v>643.75</v>
      </c>
      <c r="P18" s="10">
        <f t="shared" ref="P18:P25" si="13">$P$2*K18</f>
        <v>149.35</v>
      </c>
      <c r="Q18" s="351">
        <f t="shared" si="6"/>
        <v>500</v>
      </c>
      <c r="R18" s="12">
        <f>+'Employee Input 16-17'!R18</f>
        <v>0</v>
      </c>
      <c r="S18" s="12">
        <f t="shared" ref="S18:S25" si="14">+K18*$S$2</f>
        <v>206</v>
      </c>
      <c r="T18" s="12">
        <f t="shared" ref="T18:T25" si="15">+K18*$T$2</f>
        <v>123.60000000000001</v>
      </c>
      <c r="U18" s="12"/>
      <c r="V18" s="12"/>
      <c r="W18" s="12">
        <f t="shared" ref="W18:W25" si="16">SUM(R18:V18,M18:P18)</f>
        <v>1122.7</v>
      </c>
      <c r="X18" s="12">
        <f t="shared" ref="X18:X25" si="17">W18+K18</f>
        <v>11422.7</v>
      </c>
    </row>
    <row r="19" spans="2:24" x14ac:dyDescent="0.2">
      <c r="B19" s="14">
        <f>IF('Employee Input 16-17'!B19="","",'Employee Input 16-17'!B19)</f>
        <v>2100</v>
      </c>
      <c r="C19" s="340" t="str">
        <f>IF('Employee Input 16-17'!C19="","",'Employee Input 16-17'!C19)</f>
        <v>Cyndi Channel</v>
      </c>
      <c r="D19" s="340" t="str">
        <f>IF('Employee Input 16-17'!D19="","",'Employee Input 16-17'!D19)</f>
        <v>Instructional Aide</v>
      </c>
      <c r="E19" s="340" t="str">
        <f>IF('Employee Input 16-17'!E19="","",'Employee Input 16-17'!E19)</f>
        <v>Education</v>
      </c>
      <c r="F19" s="14">
        <f>IF('Employee Input 16-17'!F19="","",'Employee Input 16-17'!F19)</f>
        <v>1</v>
      </c>
      <c r="G19" s="300">
        <f>IF('Employee Input 16-17'!G19="","",'Employee Input 16-17'!G19*(1+$G$2))</f>
        <v>5150</v>
      </c>
      <c r="H19" s="10">
        <f t="shared" si="11"/>
        <v>5150</v>
      </c>
      <c r="I19" s="11">
        <f>IF('Employee Input 16-17'!I19="","",'Employee Input 16-17'!I19)</f>
        <v>0</v>
      </c>
      <c r="J19" s="11">
        <f>IF('Employee Input 16-17'!J19="","",'Employee Input 16-17'!J19)</f>
        <v>0</v>
      </c>
      <c r="K19" s="10">
        <f t="shared" si="12"/>
        <v>5150</v>
      </c>
      <c r="L19" s="16">
        <f>IF('Employee Input 16-17'!L19="","",'Employee Input 16-17'!L19)</f>
        <v>0</v>
      </c>
      <c r="M19" s="10" t="str">
        <f t="shared" si="2"/>
        <v/>
      </c>
      <c r="N19" s="10" t="str">
        <f t="shared" si="3"/>
        <v/>
      </c>
      <c r="O19" s="10">
        <f t="shared" si="4"/>
        <v>321.875</v>
      </c>
      <c r="P19" s="10">
        <f t="shared" si="13"/>
        <v>74.674999999999997</v>
      </c>
      <c r="Q19" s="351">
        <f t="shared" si="6"/>
        <v>500</v>
      </c>
      <c r="R19" s="12">
        <f>+'Employee Input 16-17'!R19</f>
        <v>0</v>
      </c>
      <c r="S19" s="12">
        <f t="shared" si="14"/>
        <v>103</v>
      </c>
      <c r="T19" s="12">
        <f t="shared" si="15"/>
        <v>61.800000000000004</v>
      </c>
      <c r="U19" s="12"/>
      <c r="V19" s="12"/>
      <c r="W19" s="12">
        <f t="shared" si="16"/>
        <v>561.35</v>
      </c>
      <c r="X19" s="12">
        <f t="shared" si="17"/>
        <v>5711.35</v>
      </c>
    </row>
    <row r="20" spans="2:24" outlineLevel="1" x14ac:dyDescent="0.2">
      <c r="B20" s="14">
        <f>IF('Employee Input 16-17'!B20="","",'Employee Input 16-17'!B20)</f>
        <v>2100</v>
      </c>
      <c r="C20" s="340" t="str">
        <f>IF('Employee Input 16-17'!C20="","",'Employee Input 16-17'!C20)</f>
        <v>Music 1</v>
      </c>
      <c r="D20" s="340" t="str">
        <f>IF('Employee Input 16-17'!D20="","",'Employee Input 16-17'!D20)</f>
        <v>Instructional Aide</v>
      </c>
      <c r="E20" s="340" t="str">
        <f>IF('Employee Input 16-17'!E20="","",'Employee Input 16-17'!E20)</f>
        <v>Education</v>
      </c>
      <c r="F20" s="14">
        <f>IF('Employee Input 16-17'!F20="","",'Employee Input 16-17'!F20)</f>
        <v>1</v>
      </c>
      <c r="G20" s="300">
        <f>IF('Employee Input 16-17'!G20="","",'Employee Input 16-17'!G20*(1+$G$2))</f>
        <v>5150</v>
      </c>
      <c r="H20" s="10">
        <f t="shared" si="11"/>
        <v>5150</v>
      </c>
      <c r="I20" s="11">
        <f>IF('Employee Input 16-17'!I20="","",'Employee Input 16-17'!I20)</f>
        <v>0</v>
      </c>
      <c r="J20" s="11">
        <f>IF('Employee Input 16-17'!J20="","",'Employee Input 16-17'!J20)</f>
        <v>0</v>
      </c>
      <c r="K20" s="10">
        <f t="shared" si="12"/>
        <v>5150</v>
      </c>
      <c r="L20" s="16">
        <f>IF('Employee Input 16-17'!L20="","",'Employee Input 16-17'!L20)</f>
        <v>0</v>
      </c>
      <c r="M20" s="10" t="str">
        <f t="shared" si="2"/>
        <v/>
      </c>
      <c r="N20" s="10" t="str">
        <f t="shared" si="3"/>
        <v/>
      </c>
      <c r="O20" s="10">
        <f t="shared" si="4"/>
        <v>321.875</v>
      </c>
      <c r="P20" s="10">
        <f t="shared" si="13"/>
        <v>74.674999999999997</v>
      </c>
      <c r="Q20" s="351">
        <f t="shared" si="6"/>
        <v>500</v>
      </c>
      <c r="R20" s="12">
        <f>+'Employee Input 16-17'!R20</f>
        <v>0</v>
      </c>
      <c r="S20" s="12">
        <f t="shared" si="14"/>
        <v>103</v>
      </c>
      <c r="T20" s="12">
        <f t="shared" si="15"/>
        <v>61.800000000000004</v>
      </c>
      <c r="U20" s="12"/>
      <c r="V20" s="12"/>
      <c r="W20" s="12">
        <f t="shared" si="16"/>
        <v>561.35</v>
      </c>
      <c r="X20" s="12">
        <f t="shared" si="17"/>
        <v>5711.35</v>
      </c>
    </row>
    <row r="21" spans="2:24" outlineLevel="1" x14ac:dyDescent="0.2">
      <c r="B21" s="14">
        <f>IF('Employee Input 16-17'!B21="","",'Employee Input 16-17'!B21)</f>
        <v>2100</v>
      </c>
      <c r="C21" s="340" t="str">
        <f>IF('Employee Input 16-17'!C21="","",'Employee Input 16-17'!C21)</f>
        <v>Music 2</v>
      </c>
      <c r="D21" s="340" t="str">
        <f>IF('Employee Input 16-17'!D21="","",'Employee Input 16-17'!D21)</f>
        <v>Instructional Aide</v>
      </c>
      <c r="E21" s="340" t="str">
        <f>IF('Employee Input 16-17'!E21="","",'Employee Input 16-17'!E21)</f>
        <v>Education</v>
      </c>
      <c r="F21" s="14">
        <f>IF('Employee Input 16-17'!F21="","",'Employee Input 16-17'!F21)</f>
        <v>1</v>
      </c>
      <c r="G21" s="300">
        <f>IF('Employee Input 16-17'!G21="","",'Employee Input 16-17'!G21*(1+$G$2))</f>
        <v>4120</v>
      </c>
      <c r="H21" s="10">
        <f t="shared" si="11"/>
        <v>4120</v>
      </c>
      <c r="I21" s="11">
        <f>IF('Employee Input 16-17'!I21="","",'Employee Input 16-17'!I21)</f>
        <v>0</v>
      </c>
      <c r="J21" s="11">
        <f>IF('Employee Input 16-17'!J21="","",'Employee Input 16-17'!J21)</f>
        <v>0</v>
      </c>
      <c r="K21" s="10">
        <f t="shared" si="12"/>
        <v>4120</v>
      </c>
      <c r="L21" s="16">
        <f>IF('Employee Input 16-17'!L21="","",'Employee Input 16-17'!L21)</f>
        <v>0</v>
      </c>
      <c r="M21" s="10" t="str">
        <f t="shared" si="2"/>
        <v/>
      </c>
      <c r="N21" s="10" t="str">
        <f t="shared" si="3"/>
        <v/>
      </c>
      <c r="O21" s="10">
        <f t="shared" si="4"/>
        <v>257.5</v>
      </c>
      <c r="P21" s="10">
        <f t="shared" si="13"/>
        <v>59.74</v>
      </c>
      <c r="Q21" s="351">
        <f t="shared" si="6"/>
        <v>500</v>
      </c>
      <c r="R21" s="12">
        <f>+'Employee Input 16-17'!R21</f>
        <v>0</v>
      </c>
      <c r="S21" s="12">
        <f t="shared" si="14"/>
        <v>82.4</v>
      </c>
      <c r="T21" s="12">
        <f t="shared" si="15"/>
        <v>49.44</v>
      </c>
      <c r="U21" s="12"/>
      <c r="V21" s="12"/>
      <c r="W21" s="12">
        <f t="shared" si="16"/>
        <v>449.08000000000004</v>
      </c>
      <c r="X21" s="12">
        <f t="shared" si="17"/>
        <v>4569.08</v>
      </c>
    </row>
    <row r="22" spans="2:24" outlineLevel="1" x14ac:dyDescent="0.2">
      <c r="B22" s="14">
        <f>IF('Employee Input 16-17'!B22="","",'Employee Input 16-17'!B22)</f>
        <v>2100</v>
      </c>
      <c r="C22" s="340" t="str">
        <f>IF('Employee Input 16-17'!C22="","",'Employee Input 16-17'!C22)</f>
        <v>Music 3</v>
      </c>
      <c r="D22" s="340" t="str">
        <f>IF('Employee Input 16-17'!D22="","",'Employee Input 16-17'!D22)</f>
        <v>Instructional Aide</v>
      </c>
      <c r="E22" s="340" t="str">
        <f>IF('Employee Input 16-17'!E22="","",'Employee Input 16-17'!E22)</f>
        <v>Education</v>
      </c>
      <c r="F22" s="14">
        <f>IF('Employee Input 16-17'!F22="","",'Employee Input 16-17'!F22)</f>
        <v>1</v>
      </c>
      <c r="G22" s="300">
        <f>IF('Employee Input 16-17'!G22="","",'Employee Input 16-17'!G22*(1+$G$2))</f>
        <v>2575</v>
      </c>
      <c r="H22" s="10">
        <f t="shared" si="11"/>
        <v>2575</v>
      </c>
      <c r="I22" s="11">
        <f>IF('Employee Input 16-17'!I22="","",'Employee Input 16-17'!I22)</f>
        <v>0</v>
      </c>
      <c r="J22" s="11">
        <f>IF('Employee Input 16-17'!J22="","",'Employee Input 16-17'!J22)</f>
        <v>0</v>
      </c>
      <c r="K22" s="10">
        <f t="shared" si="12"/>
        <v>2575</v>
      </c>
      <c r="L22" s="16">
        <f>IF('Employee Input 16-17'!L22="","",'Employee Input 16-17'!L22)</f>
        <v>0</v>
      </c>
      <c r="M22" s="10" t="str">
        <f t="shared" si="2"/>
        <v/>
      </c>
      <c r="N22" s="10" t="str">
        <f t="shared" si="3"/>
        <v/>
      </c>
      <c r="O22" s="10">
        <f t="shared" si="4"/>
        <v>160.9375</v>
      </c>
      <c r="P22" s="10">
        <f t="shared" si="13"/>
        <v>37.337499999999999</v>
      </c>
      <c r="Q22" s="351">
        <f t="shared" si="6"/>
        <v>500</v>
      </c>
      <c r="R22" s="12">
        <f>+'Employee Input 16-17'!R22</f>
        <v>0</v>
      </c>
      <c r="S22" s="12">
        <f t="shared" si="14"/>
        <v>51.5</v>
      </c>
      <c r="T22" s="12">
        <f t="shared" si="15"/>
        <v>30.900000000000002</v>
      </c>
      <c r="U22" s="12"/>
      <c r="V22" s="12"/>
      <c r="W22" s="12">
        <f t="shared" si="16"/>
        <v>280.67500000000001</v>
      </c>
      <c r="X22" s="12">
        <f t="shared" si="17"/>
        <v>2855.6750000000002</v>
      </c>
    </row>
    <row r="23" spans="2:24" outlineLevel="1" x14ac:dyDescent="0.2">
      <c r="B23" s="14">
        <f>IF('Employee Input 16-17'!B23="","",'Employee Input 16-17'!B23)</f>
        <v>2100</v>
      </c>
      <c r="C23" s="340" t="str">
        <f>IF('Employee Input 16-17'!C23="","",'Employee Input 16-17'!C23)</f>
        <v>Music 4</v>
      </c>
      <c r="D23" s="340" t="str">
        <f>IF('Employee Input 16-17'!D23="","",'Employee Input 16-17'!D23)</f>
        <v>Instructional Aide</v>
      </c>
      <c r="E23" s="340" t="str">
        <f>IF('Employee Input 16-17'!E23="","",'Employee Input 16-17'!E23)</f>
        <v>Education</v>
      </c>
      <c r="F23" s="14">
        <f>IF('Employee Input 16-17'!F23="","",'Employee Input 16-17'!F23)</f>
        <v>1</v>
      </c>
      <c r="G23" s="300">
        <f>IF('Employee Input 16-17'!G23="","",'Employee Input 16-17'!G23*(1+$G$2))</f>
        <v>1545</v>
      </c>
      <c r="H23" s="10">
        <f t="shared" si="11"/>
        <v>1545</v>
      </c>
      <c r="I23" s="11">
        <f>IF('Employee Input 16-17'!I23="","",'Employee Input 16-17'!I23)</f>
        <v>0</v>
      </c>
      <c r="J23" s="11">
        <f>IF('Employee Input 16-17'!J23="","",'Employee Input 16-17'!J23)</f>
        <v>0</v>
      </c>
      <c r="K23" s="10">
        <f t="shared" si="12"/>
        <v>1545</v>
      </c>
      <c r="L23" s="16">
        <f>IF('Employee Input 16-17'!L23="","",'Employee Input 16-17'!L23)</f>
        <v>0</v>
      </c>
      <c r="M23" s="10" t="str">
        <f t="shared" si="2"/>
        <v/>
      </c>
      <c r="N23" s="10" t="str">
        <f t="shared" si="3"/>
        <v/>
      </c>
      <c r="O23" s="10">
        <f t="shared" si="4"/>
        <v>96.5625</v>
      </c>
      <c r="P23" s="10">
        <f t="shared" si="13"/>
        <v>22.4025</v>
      </c>
      <c r="Q23" s="351">
        <f t="shared" si="6"/>
        <v>500</v>
      </c>
      <c r="R23" s="12">
        <f>+'Employee Input 16-17'!R23</f>
        <v>0</v>
      </c>
      <c r="S23" s="12">
        <f t="shared" si="14"/>
        <v>30.900000000000002</v>
      </c>
      <c r="T23" s="12">
        <f t="shared" si="15"/>
        <v>18.54</v>
      </c>
      <c r="U23" s="12"/>
      <c r="V23" s="12"/>
      <c r="W23" s="12">
        <f t="shared" si="16"/>
        <v>168.405</v>
      </c>
      <c r="X23" s="12">
        <f t="shared" si="17"/>
        <v>1713.405</v>
      </c>
    </row>
    <row r="24" spans="2:24" outlineLevel="1" x14ac:dyDescent="0.2">
      <c r="B24" s="14">
        <f>IF('Employee Input 16-17'!B24="","",'Employee Input 16-17'!B24)</f>
        <v>2100</v>
      </c>
      <c r="C24" s="340" t="str">
        <f>IF('Employee Input 16-17'!C24="","",'Employee Input 16-17'!C24)</f>
        <v>Tutor</v>
      </c>
      <c r="D24" s="340" t="str">
        <f>IF('Employee Input 16-17'!D24="","",'Employee Input 16-17'!D24)</f>
        <v>Instructional Aide</v>
      </c>
      <c r="E24" s="340" t="str">
        <f>IF('Employee Input 16-17'!E24="","",'Employee Input 16-17'!E24)</f>
        <v>Education</v>
      </c>
      <c r="F24" s="14">
        <f>IF('Employee Input 16-17'!F24="","",'Employee Input 16-17'!F24)</f>
        <v>1</v>
      </c>
      <c r="G24" s="300">
        <f>IF('Employee Input 16-17'!G24="","",'Employee Input 16-17'!G24*(1+$G$2))</f>
        <v>5150</v>
      </c>
      <c r="H24" s="10">
        <f t="shared" si="11"/>
        <v>5150</v>
      </c>
      <c r="I24" s="11">
        <f>IF('Employee Input 16-17'!I24="","",'Employee Input 16-17'!I24)</f>
        <v>0</v>
      </c>
      <c r="J24" s="11">
        <f>IF('Employee Input 16-17'!J24="","",'Employee Input 16-17'!J24)</f>
        <v>0</v>
      </c>
      <c r="K24" s="10">
        <f t="shared" si="12"/>
        <v>5150</v>
      </c>
      <c r="L24" s="16">
        <f>IF('Employee Input 16-17'!L24="","",'Employee Input 16-17'!L24)</f>
        <v>0</v>
      </c>
      <c r="M24" s="10" t="str">
        <f t="shared" si="2"/>
        <v/>
      </c>
      <c r="N24" s="10" t="str">
        <f t="shared" si="3"/>
        <v/>
      </c>
      <c r="O24" s="10">
        <f t="shared" si="4"/>
        <v>321.875</v>
      </c>
      <c r="P24" s="10">
        <f t="shared" si="13"/>
        <v>74.674999999999997</v>
      </c>
      <c r="Q24" s="351">
        <f t="shared" si="6"/>
        <v>500</v>
      </c>
      <c r="R24" s="12">
        <f>+'Employee Input 16-17'!R24</f>
        <v>0</v>
      </c>
      <c r="S24" s="12">
        <f t="shared" si="14"/>
        <v>103</v>
      </c>
      <c r="T24" s="12">
        <f t="shared" si="15"/>
        <v>61.800000000000004</v>
      </c>
      <c r="U24" s="12"/>
      <c r="V24" s="12"/>
      <c r="W24" s="12">
        <f t="shared" si="16"/>
        <v>561.35</v>
      </c>
      <c r="X24" s="12">
        <f t="shared" si="17"/>
        <v>5711.35</v>
      </c>
    </row>
    <row r="25" spans="2:24" outlineLevel="1" x14ac:dyDescent="0.2">
      <c r="B25" s="14">
        <f>IF('Employee Input 16-17'!B25="","",'Employee Input 16-17'!B25)</f>
        <v>2400</v>
      </c>
      <c r="C25" s="340" t="str">
        <f>IF('Employee Input 16-17'!C25="","",'Employee Input 16-17'!C25)</f>
        <v>Marcia Mollett</v>
      </c>
      <c r="D25" s="340" t="str">
        <f>IF('Employee Input 16-17'!D25="","",'Employee Input 16-17'!D25)</f>
        <v>Support</v>
      </c>
      <c r="E25" s="340" t="str">
        <f>IF('Employee Input 16-17'!E25="","",'Employee Input 16-17'!E25)</f>
        <v>Support</v>
      </c>
      <c r="F25" s="14">
        <f>IF('Employee Input 16-17'!F25="","",'Employee Input 16-17'!F25)</f>
        <v>1</v>
      </c>
      <c r="G25" s="300">
        <f>IF('Employee Input 16-17'!G25="","",'Employee Input 16-17'!G25*(1+$G$2))</f>
        <v>19158</v>
      </c>
      <c r="H25" s="10">
        <f t="shared" si="11"/>
        <v>19158</v>
      </c>
      <c r="I25" s="11">
        <f>IF('Employee Input 16-17'!I25="","",'Employee Input 16-17'!I25)</f>
        <v>0</v>
      </c>
      <c r="J25" s="11">
        <f>IF('Employee Input 16-17'!J25="","",'Employee Input 16-17'!J25)</f>
        <v>0</v>
      </c>
      <c r="K25" s="10">
        <f t="shared" si="12"/>
        <v>19158</v>
      </c>
      <c r="L25" s="16">
        <f>IF('Employee Input 16-17'!L25="","",'Employee Input 16-17'!L25)</f>
        <v>0</v>
      </c>
      <c r="M25" s="10" t="str">
        <f t="shared" si="2"/>
        <v/>
      </c>
      <c r="N25" s="10" t="str">
        <f t="shared" si="3"/>
        <v/>
      </c>
      <c r="O25" s="10">
        <f t="shared" si="4"/>
        <v>1197.375</v>
      </c>
      <c r="P25" s="10">
        <f t="shared" si="13"/>
        <v>277.791</v>
      </c>
      <c r="Q25" s="351">
        <f t="shared" si="6"/>
        <v>500</v>
      </c>
      <c r="R25" s="12">
        <f>+'Employee Input 16-17'!R25</f>
        <v>8400</v>
      </c>
      <c r="S25" s="12">
        <f t="shared" si="14"/>
        <v>383.16</v>
      </c>
      <c r="T25" s="12">
        <f t="shared" si="15"/>
        <v>229.89600000000002</v>
      </c>
      <c r="U25" s="12"/>
      <c r="V25" s="12"/>
      <c r="W25" s="12">
        <f t="shared" si="16"/>
        <v>10488.222</v>
      </c>
      <c r="X25" s="12">
        <f t="shared" si="17"/>
        <v>29646.222000000002</v>
      </c>
    </row>
    <row r="26" spans="2:24" outlineLevel="1" x14ac:dyDescent="0.2">
      <c r="B26" s="14"/>
      <c r="C26" s="340"/>
      <c r="D26" s="340"/>
      <c r="E26" s="340"/>
      <c r="F26" s="14"/>
      <c r="G26" s="300"/>
      <c r="H26" s="10"/>
      <c r="I26" s="11"/>
      <c r="J26" s="11"/>
      <c r="K26" s="10"/>
      <c r="L26" s="16"/>
      <c r="M26" s="10"/>
      <c r="N26" s="10"/>
      <c r="O26" s="10"/>
      <c r="P26" s="10"/>
      <c r="Q26" s="351"/>
      <c r="R26" s="12"/>
      <c r="S26" s="12"/>
      <c r="T26" s="12"/>
      <c r="U26" s="12"/>
      <c r="V26" s="12"/>
      <c r="W26" s="12"/>
      <c r="X26" s="12"/>
    </row>
    <row r="27" spans="2:24" outlineLevel="1" x14ac:dyDescent="0.2">
      <c r="B27" s="14"/>
      <c r="C27" s="340"/>
      <c r="D27" s="340"/>
      <c r="E27" s="340"/>
      <c r="F27" s="14"/>
      <c r="G27" s="300"/>
      <c r="H27" s="10"/>
      <c r="I27" s="11"/>
      <c r="J27" s="11"/>
      <c r="K27" s="10"/>
      <c r="L27" s="16"/>
      <c r="M27" s="10"/>
      <c r="N27" s="10"/>
      <c r="O27" s="10"/>
      <c r="P27" s="10"/>
      <c r="Q27" s="351"/>
      <c r="R27" s="12"/>
      <c r="S27" s="12"/>
      <c r="T27" s="12"/>
      <c r="U27" s="12"/>
      <c r="V27" s="12"/>
      <c r="W27" s="12"/>
      <c r="X27" s="12"/>
    </row>
    <row r="28" spans="2:24" outlineLevel="1" x14ac:dyDescent="0.2">
      <c r="B28" s="14"/>
      <c r="C28" s="340"/>
      <c r="D28" s="340"/>
      <c r="E28" s="340"/>
      <c r="F28" s="14"/>
      <c r="G28" s="300"/>
      <c r="H28" s="10"/>
      <c r="I28" s="11"/>
      <c r="J28" s="11"/>
      <c r="K28" s="10"/>
      <c r="L28" s="16"/>
      <c r="M28" s="10"/>
      <c r="N28" s="10"/>
      <c r="O28" s="10"/>
      <c r="P28" s="10"/>
      <c r="Q28" s="304"/>
      <c r="R28" s="12"/>
      <c r="S28" s="12"/>
      <c r="T28" s="12"/>
      <c r="U28" s="12"/>
      <c r="V28" s="12"/>
      <c r="W28" s="12"/>
      <c r="X28" s="12"/>
    </row>
    <row r="29" spans="2:24" outlineLevel="1" x14ac:dyDescent="0.2">
      <c r="B29" s="14"/>
      <c r="C29" s="340"/>
      <c r="D29" s="340"/>
      <c r="E29" s="340"/>
      <c r="F29" s="14"/>
      <c r="G29" s="300"/>
      <c r="H29" s="10"/>
      <c r="I29" s="11"/>
      <c r="J29" s="11"/>
      <c r="K29" s="10"/>
      <c r="L29" s="16"/>
      <c r="M29" s="10"/>
      <c r="N29" s="10"/>
      <c r="O29" s="10"/>
      <c r="P29" s="10"/>
      <c r="Q29" s="304"/>
      <c r="R29" s="12"/>
      <c r="S29" s="12"/>
      <c r="T29" s="12"/>
      <c r="U29" s="12"/>
      <c r="V29" s="12"/>
      <c r="W29" s="12"/>
      <c r="X29" s="12"/>
    </row>
    <row r="30" spans="2:24" outlineLevel="1" x14ac:dyDescent="0.2">
      <c r="B30" s="14"/>
      <c r="C30" s="340"/>
      <c r="D30" s="340"/>
      <c r="E30" s="340"/>
      <c r="F30" s="14"/>
      <c r="G30" s="300"/>
      <c r="H30" s="10"/>
      <c r="I30" s="11"/>
      <c r="J30" s="11"/>
      <c r="K30" s="10"/>
      <c r="L30" s="16"/>
      <c r="M30" s="10"/>
      <c r="N30" s="10"/>
      <c r="O30" s="10"/>
      <c r="P30" s="10"/>
      <c r="Q30" s="304"/>
      <c r="R30" s="12"/>
      <c r="S30" s="12"/>
      <c r="T30" s="12"/>
      <c r="U30" s="12"/>
      <c r="V30" s="12"/>
      <c r="W30" s="12"/>
      <c r="X30" s="12"/>
    </row>
    <row r="31" spans="2:24" outlineLevel="1" x14ac:dyDescent="0.2">
      <c r="B31" s="14"/>
      <c r="C31" s="340"/>
      <c r="D31" s="340"/>
      <c r="E31" s="340"/>
      <c r="F31" s="14"/>
      <c r="G31" s="300"/>
      <c r="H31" s="10"/>
      <c r="I31" s="11"/>
      <c r="J31" s="11"/>
      <c r="K31" s="10"/>
      <c r="L31" s="16"/>
      <c r="M31" s="10"/>
      <c r="N31" s="10"/>
      <c r="O31" s="10"/>
      <c r="P31" s="10"/>
      <c r="Q31" s="304"/>
      <c r="R31" s="12"/>
      <c r="S31" s="12"/>
      <c r="T31" s="12"/>
      <c r="U31" s="12"/>
      <c r="V31" s="12"/>
      <c r="W31" s="12"/>
      <c r="X31" s="12"/>
    </row>
    <row r="32" spans="2:24" outlineLevel="1" x14ac:dyDescent="0.2">
      <c r="B32" s="14"/>
      <c r="C32" s="340"/>
      <c r="D32" s="340"/>
      <c r="E32" s="340"/>
      <c r="F32" s="14"/>
      <c r="G32" s="300"/>
      <c r="H32" s="10"/>
      <c r="I32" s="11"/>
      <c r="J32" s="11"/>
      <c r="K32" s="10"/>
      <c r="L32" s="16"/>
      <c r="M32" s="10"/>
      <c r="N32" s="10"/>
      <c r="O32" s="10"/>
      <c r="P32" s="10"/>
      <c r="Q32" s="304"/>
      <c r="R32" s="12"/>
      <c r="S32" s="12"/>
      <c r="T32" s="12"/>
      <c r="U32" s="12"/>
      <c r="V32" s="12"/>
      <c r="W32" s="12"/>
      <c r="X32" s="12"/>
    </row>
    <row r="33" spans="2:24" outlineLevel="1" x14ac:dyDescent="0.2">
      <c r="B33" s="14"/>
      <c r="C33" s="340"/>
      <c r="D33" s="340"/>
      <c r="E33" s="340"/>
      <c r="F33" s="14"/>
      <c r="G33" s="300"/>
      <c r="H33" s="10"/>
      <c r="I33" s="11"/>
      <c r="J33" s="11"/>
      <c r="K33" s="10"/>
      <c r="L33" s="16"/>
      <c r="M33" s="10"/>
      <c r="N33" s="10"/>
      <c r="O33" s="10"/>
      <c r="P33" s="10"/>
      <c r="Q33" s="304"/>
      <c r="R33" s="12"/>
      <c r="S33" s="12"/>
      <c r="T33" s="12"/>
      <c r="U33" s="12"/>
      <c r="V33" s="12"/>
      <c r="W33" s="12"/>
      <c r="X33" s="12"/>
    </row>
    <row r="34" spans="2:24" outlineLevel="1" x14ac:dyDescent="0.2">
      <c r="B34" s="14"/>
      <c r="C34" s="340"/>
      <c r="D34" s="340"/>
      <c r="E34" s="340"/>
      <c r="F34" s="14"/>
      <c r="G34" s="300"/>
      <c r="H34" s="10"/>
      <c r="I34" s="11"/>
      <c r="J34" s="11"/>
      <c r="K34" s="10"/>
      <c r="L34" s="16"/>
      <c r="M34" s="10"/>
      <c r="N34" s="10"/>
      <c r="O34" s="10"/>
      <c r="P34" s="10"/>
      <c r="Q34" s="304"/>
      <c r="R34" s="12"/>
      <c r="S34" s="12"/>
      <c r="T34" s="12"/>
      <c r="U34" s="12"/>
      <c r="V34" s="12"/>
      <c r="W34" s="12"/>
      <c r="X34" s="12"/>
    </row>
    <row r="35" spans="2:24" outlineLevel="1" x14ac:dyDescent="0.2">
      <c r="B35" s="14"/>
      <c r="C35" s="340"/>
      <c r="D35" s="340"/>
      <c r="E35" s="340"/>
      <c r="F35" s="14"/>
      <c r="G35" s="300"/>
      <c r="H35" s="10"/>
      <c r="I35" s="11"/>
      <c r="J35" s="11"/>
      <c r="K35" s="10"/>
      <c r="L35" s="16"/>
      <c r="M35" s="10"/>
      <c r="N35" s="10"/>
      <c r="O35" s="10"/>
      <c r="P35" s="10"/>
      <c r="Q35" s="304"/>
      <c r="R35" s="12"/>
      <c r="S35" s="12"/>
      <c r="T35" s="12"/>
      <c r="U35" s="12"/>
      <c r="V35" s="12"/>
      <c r="W35" s="12"/>
      <c r="X35" s="12"/>
    </row>
    <row r="36" spans="2:24" outlineLevel="1" x14ac:dyDescent="0.2">
      <c r="B36" s="14"/>
      <c r="C36" s="340"/>
      <c r="D36" s="340"/>
      <c r="E36" s="340"/>
      <c r="F36" s="14"/>
      <c r="G36" s="300"/>
      <c r="H36" s="10"/>
      <c r="I36" s="11"/>
      <c r="J36" s="11"/>
      <c r="K36" s="10"/>
      <c r="L36" s="16"/>
      <c r="M36" s="10"/>
      <c r="N36" s="10"/>
      <c r="O36" s="10"/>
      <c r="P36" s="10"/>
      <c r="Q36" s="304"/>
      <c r="R36" s="12"/>
      <c r="S36" s="12"/>
      <c r="T36" s="12"/>
      <c r="U36" s="12"/>
      <c r="V36" s="12"/>
      <c r="W36" s="12"/>
      <c r="X36" s="12"/>
    </row>
    <row r="37" spans="2:24" outlineLevel="1" x14ac:dyDescent="0.2">
      <c r="B37" s="14"/>
      <c r="C37" s="340"/>
      <c r="D37" s="340"/>
      <c r="E37" s="340"/>
      <c r="F37" s="14"/>
      <c r="G37" s="300"/>
      <c r="H37" s="10"/>
      <c r="I37" s="11"/>
      <c r="J37" s="11"/>
      <c r="K37" s="10"/>
      <c r="L37" s="16"/>
      <c r="M37" s="10"/>
      <c r="N37" s="10"/>
      <c r="O37" s="10"/>
      <c r="P37" s="10"/>
      <c r="Q37" s="304"/>
      <c r="R37" s="12"/>
      <c r="S37" s="12"/>
      <c r="T37" s="12"/>
      <c r="U37" s="12"/>
      <c r="V37" s="12"/>
      <c r="W37" s="12"/>
      <c r="X37" s="12"/>
    </row>
    <row r="38" spans="2:24" outlineLevel="1" x14ac:dyDescent="0.2">
      <c r="B38" s="14"/>
      <c r="C38" s="340"/>
      <c r="D38" s="340"/>
      <c r="E38" s="340"/>
      <c r="F38" s="14"/>
      <c r="G38" s="300"/>
      <c r="H38" s="10"/>
      <c r="I38" s="11"/>
      <c r="J38" s="11"/>
      <c r="K38" s="10"/>
      <c r="L38" s="16"/>
      <c r="M38" s="10"/>
      <c r="N38" s="10"/>
      <c r="O38" s="10"/>
      <c r="P38" s="10"/>
      <c r="Q38" s="304"/>
      <c r="R38" s="12"/>
      <c r="S38" s="12"/>
      <c r="T38" s="12"/>
      <c r="U38" s="12"/>
      <c r="V38" s="12"/>
      <c r="W38" s="12"/>
      <c r="X38" s="12"/>
    </row>
    <row r="39" spans="2:24" outlineLevel="1" x14ac:dyDescent="0.2">
      <c r="B39" s="14"/>
      <c r="C39" s="340"/>
      <c r="D39" s="340"/>
      <c r="E39" s="340"/>
      <c r="F39" s="14"/>
      <c r="G39" s="300"/>
      <c r="H39" s="10"/>
      <c r="I39" s="11"/>
      <c r="J39" s="11"/>
      <c r="K39" s="10"/>
      <c r="L39" s="16"/>
      <c r="M39" s="10"/>
      <c r="N39" s="10"/>
      <c r="O39" s="10"/>
      <c r="P39" s="10"/>
      <c r="Q39" s="304"/>
      <c r="R39" s="12"/>
      <c r="S39" s="12"/>
      <c r="T39" s="12"/>
      <c r="U39" s="12"/>
      <c r="V39" s="12"/>
      <c r="W39" s="12"/>
      <c r="X39" s="12"/>
    </row>
    <row r="40" spans="2:24" outlineLevel="1" x14ac:dyDescent="0.2">
      <c r="B40" s="14"/>
      <c r="C40" s="340"/>
      <c r="D40" s="340"/>
      <c r="E40" s="340"/>
      <c r="F40" s="14"/>
      <c r="G40" s="300"/>
      <c r="H40" s="10"/>
      <c r="I40" s="11"/>
      <c r="J40" s="11"/>
      <c r="K40" s="10"/>
      <c r="L40" s="16"/>
      <c r="M40" s="10"/>
      <c r="N40" s="10"/>
      <c r="O40" s="10"/>
      <c r="P40" s="10"/>
      <c r="Q40" s="304"/>
      <c r="R40" s="12"/>
      <c r="S40" s="12"/>
      <c r="T40" s="12"/>
      <c r="U40" s="12"/>
      <c r="V40" s="12"/>
      <c r="W40" s="12"/>
      <c r="X40" s="12"/>
    </row>
    <row r="41" spans="2:24" outlineLevel="1" x14ac:dyDescent="0.2">
      <c r="B41" s="14"/>
      <c r="C41" s="340"/>
      <c r="D41" s="340"/>
      <c r="E41" s="340"/>
      <c r="F41" s="14"/>
      <c r="G41" s="300"/>
      <c r="H41" s="10"/>
      <c r="I41" s="11"/>
      <c r="J41" s="11"/>
      <c r="K41" s="10"/>
      <c r="L41" s="16"/>
      <c r="M41" s="10"/>
      <c r="N41" s="10"/>
      <c r="O41" s="10"/>
      <c r="P41" s="10"/>
      <c r="Q41" s="304"/>
      <c r="R41" s="12"/>
      <c r="S41" s="12"/>
      <c r="T41" s="12"/>
      <c r="U41" s="12"/>
      <c r="V41" s="12"/>
      <c r="W41" s="12"/>
      <c r="X41" s="12"/>
    </row>
    <row r="42" spans="2:24" outlineLevel="1" x14ac:dyDescent="0.2">
      <c r="B42" s="14"/>
      <c r="C42" s="340"/>
      <c r="D42" s="340"/>
      <c r="E42" s="340"/>
      <c r="F42" s="14"/>
      <c r="G42" s="300"/>
      <c r="H42" s="10"/>
      <c r="I42" s="11"/>
      <c r="J42" s="11"/>
      <c r="K42" s="10"/>
      <c r="L42" s="16"/>
      <c r="M42" s="10"/>
      <c r="N42" s="10"/>
      <c r="O42" s="10"/>
      <c r="P42" s="10"/>
      <c r="Q42" s="304"/>
      <c r="R42" s="12"/>
      <c r="S42" s="12"/>
      <c r="T42" s="12"/>
      <c r="U42" s="12"/>
      <c r="V42" s="12"/>
      <c r="W42" s="12"/>
      <c r="X42" s="12"/>
    </row>
    <row r="43" spans="2:24" outlineLevel="1" x14ac:dyDescent="0.2">
      <c r="B43" s="14"/>
      <c r="C43" s="340"/>
      <c r="D43" s="340"/>
      <c r="E43" s="340"/>
      <c r="F43" s="14"/>
      <c r="G43" s="300"/>
      <c r="H43" s="10"/>
      <c r="I43" s="11"/>
      <c r="J43" s="11"/>
      <c r="K43" s="10"/>
      <c r="L43" s="16"/>
      <c r="M43" s="10"/>
      <c r="N43" s="10"/>
      <c r="O43" s="10"/>
      <c r="P43" s="10"/>
      <c r="Q43" s="304"/>
      <c r="R43" s="12"/>
      <c r="S43" s="12"/>
      <c r="T43" s="12"/>
      <c r="U43" s="12"/>
      <c r="V43" s="12"/>
      <c r="W43" s="12"/>
      <c r="X43" s="12"/>
    </row>
    <row r="44" spans="2:24" outlineLevel="1" x14ac:dyDescent="0.2">
      <c r="B44" s="14"/>
      <c r="C44" s="340"/>
      <c r="D44" s="340"/>
      <c r="E44" s="340"/>
      <c r="F44" s="14"/>
      <c r="G44" s="300"/>
      <c r="H44" s="10"/>
      <c r="I44" s="11"/>
      <c r="J44" s="11"/>
      <c r="K44" s="10"/>
      <c r="L44" s="16"/>
      <c r="M44" s="10"/>
      <c r="N44" s="10"/>
      <c r="O44" s="10"/>
      <c r="P44" s="10"/>
      <c r="Q44" s="304"/>
      <c r="R44" s="12"/>
      <c r="S44" s="12"/>
      <c r="T44" s="12"/>
      <c r="U44" s="12"/>
      <c r="V44" s="12"/>
      <c r="W44" s="12"/>
      <c r="X44" s="12"/>
    </row>
    <row r="45" spans="2:24" outlineLevel="1" x14ac:dyDescent="0.2">
      <c r="B45" s="14"/>
      <c r="C45" s="340"/>
      <c r="D45" s="340"/>
      <c r="E45" s="340"/>
      <c r="F45" s="14"/>
      <c r="G45" s="300"/>
      <c r="H45" s="10"/>
      <c r="I45" s="11"/>
      <c r="J45" s="11"/>
      <c r="K45" s="10"/>
      <c r="L45" s="16"/>
      <c r="M45" s="10"/>
      <c r="N45" s="10"/>
      <c r="O45" s="10"/>
      <c r="P45" s="10"/>
      <c r="Q45" s="304"/>
      <c r="R45" s="12"/>
      <c r="S45" s="12"/>
      <c r="T45" s="12"/>
      <c r="U45" s="12"/>
      <c r="V45" s="12"/>
      <c r="W45" s="12"/>
      <c r="X45" s="12"/>
    </row>
    <row r="46" spans="2:24" outlineLevel="1" x14ac:dyDescent="0.2">
      <c r="B46" s="14"/>
      <c r="C46" s="340"/>
      <c r="D46" s="340"/>
      <c r="E46" s="340"/>
      <c r="F46" s="14"/>
      <c r="G46" s="300"/>
      <c r="H46" s="10"/>
      <c r="I46" s="11"/>
      <c r="J46" s="11"/>
      <c r="K46" s="10"/>
      <c r="L46" s="16"/>
      <c r="M46" s="10"/>
      <c r="N46" s="10"/>
      <c r="O46" s="10"/>
      <c r="P46" s="10"/>
      <c r="Q46" s="304"/>
      <c r="R46" s="12"/>
      <c r="S46" s="12"/>
      <c r="T46" s="12"/>
      <c r="U46" s="12"/>
      <c r="V46" s="12"/>
      <c r="W46" s="12"/>
      <c r="X46" s="12"/>
    </row>
    <row r="47" spans="2:24" outlineLevel="1" x14ac:dyDescent="0.2">
      <c r="B47" s="14"/>
      <c r="C47" s="340"/>
      <c r="D47" s="340"/>
      <c r="E47" s="340"/>
      <c r="F47" s="14"/>
      <c r="G47" s="300"/>
      <c r="H47" s="10"/>
      <c r="I47" s="11"/>
      <c r="J47" s="11"/>
      <c r="K47" s="10"/>
      <c r="L47" s="16"/>
      <c r="M47" s="10"/>
      <c r="N47" s="10"/>
      <c r="O47" s="10"/>
      <c r="P47" s="10"/>
      <c r="Q47" s="304"/>
      <c r="R47" s="12"/>
      <c r="S47" s="12"/>
      <c r="T47" s="12"/>
      <c r="U47" s="12"/>
      <c r="V47" s="12"/>
      <c r="W47" s="12"/>
      <c r="X47" s="12"/>
    </row>
    <row r="48" spans="2:24" outlineLevel="1" x14ac:dyDescent="0.2">
      <c r="B48" s="14"/>
      <c r="C48" s="340"/>
      <c r="D48" s="340"/>
      <c r="E48" s="340"/>
      <c r="F48" s="14"/>
      <c r="G48" s="300"/>
      <c r="H48" s="10"/>
      <c r="I48" s="11"/>
      <c r="J48" s="11"/>
      <c r="K48" s="10"/>
      <c r="L48" s="16"/>
      <c r="M48" s="10"/>
      <c r="N48" s="10"/>
      <c r="O48" s="10"/>
      <c r="P48" s="10"/>
      <c r="Q48" s="304"/>
      <c r="R48" s="12"/>
      <c r="S48" s="12"/>
      <c r="T48" s="12"/>
      <c r="U48" s="12"/>
      <c r="V48" s="12"/>
      <c r="W48" s="12"/>
      <c r="X48" s="12"/>
    </row>
    <row r="49" spans="2:24" outlineLevel="1" x14ac:dyDescent="0.2">
      <c r="B49" s="14"/>
      <c r="C49" s="340"/>
      <c r="D49" s="340"/>
      <c r="E49" s="340"/>
      <c r="F49" s="14"/>
      <c r="G49" s="300"/>
      <c r="H49" s="10"/>
      <c r="I49" s="11"/>
      <c r="J49" s="11"/>
      <c r="K49" s="10"/>
      <c r="L49" s="16"/>
      <c r="M49" s="10"/>
      <c r="N49" s="10"/>
      <c r="O49" s="10"/>
      <c r="P49" s="10"/>
      <c r="Q49" s="304"/>
      <c r="R49" s="12"/>
      <c r="S49" s="12"/>
      <c r="T49" s="12"/>
      <c r="U49" s="12"/>
      <c r="V49" s="12"/>
      <c r="W49" s="12"/>
      <c r="X49" s="12"/>
    </row>
    <row r="50" spans="2:24" outlineLevel="1" x14ac:dyDescent="0.2">
      <c r="B50" s="14"/>
      <c r="C50" s="340"/>
      <c r="D50" s="340"/>
      <c r="E50" s="340"/>
      <c r="F50" s="14"/>
      <c r="G50" s="300"/>
      <c r="H50" s="10"/>
      <c r="I50" s="11"/>
      <c r="J50" s="11"/>
      <c r="K50" s="10"/>
      <c r="L50" s="16"/>
      <c r="M50" s="10"/>
      <c r="N50" s="10"/>
      <c r="O50" s="10"/>
      <c r="P50" s="10"/>
      <c r="Q50" s="304"/>
      <c r="R50" s="12"/>
      <c r="S50" s="12"/>
      <c r="T50" s="12"/>
      <c r="U50" s="12"/>
      <c r="V50" s="12"/>
      <c r="W50" s="12"/>
      <c r="X50" s="12"/>
    </row>
    <row r="51" spans="2:24" outlineLevel="1" x14ac:dyDescent="0.2">
      <c r="B51" s="14"/>
      <c r="C51" s="340"/>
      <c r="D51" s="340"/>
      <c r="E51" s="340"/>
      <c r="F51" s="14"/>
      <c r="G51" s="300"/>
      <c r="H51" s="10"/>
      <c r="I51" s="11"/>
      <c r="J51" s="11"/>
      <c r="K51" s="10"/>
      <c r="L51" s="16"/>
      <c r="M51" s="10"/>
      <c r="N51" s="10"/>
      <c r="O51" s="10"/>
      <c r="P51" s="10"/>
      <c r="Q51" s="304"/>
      <c r="R51" s="12"/>
      <c r="S51" s="12"/>
      <c r="T51" s="12"/>
      <c r="U51" s="12"/>
      <c r="V51" s="12"/>
      <c r="W51" s="12"/>
      <c r="X51" s="12"/>
    </row>
    <row r="52" spans="2:24" outlineLevel="1" x14ac:dyDescent="0.2">
      <c r="B52" s="14"/>
      <c r="C52" s="340"/>
      <c r="D52" s="340"/>
      <c r="E52" s="340"/>
      <c r="F52" s="14"/>
      <c r="G52" s="300"/>
      <c r="H52" s="10"/>
      <c r="I52" s="11"/>
      <c r="J52" s="11"/>
      <c r="K52" s="10"/>
      <c r="L52" s="16"/>
      <c r="M52" s="10"/>
      <c r="N52" s="10"/>
      <c r="O52" s="10"/>
      <c r="P52" s="10"/>
      <c r="Q52" s="304"/>
      <c r="R52" s="12"/>
      <c r="S52" s="12"/>
      <c r="T52" s="12"/>
      <c r="U52" s="12"/>
      <c r="V52" s="12"/>
      <c r="W52" s="12"/>
      <c r="X52" s="12"/>
    </row>
    <row r="53" spans="2:24" outlineLevel="1" x14ac:dyDescent="0.2">
      <c r="B53" s="14"/>
      <c r="C53" s="340"/>
      <c r="D53" s="340"/>
      <c r="E53" s="340"/>
      <c r="F53" s="14"/>
      <c r="G53" s="300"/>
      <c r="H53" s="10"/>
      <c r="I53" s="11"/>
      <c r="J53" s="11"/>
      <c r="K53" s="10"/>
      <c r="L53" s="16"/>
      <c r="M53" s="10"/>
      <c r="N53" s="10"/>
      <c r="O53" s="10"/>
      <c r="P53" s="10"/>
      <c r="Q53" s="304"/>
      <c r="R53" s="12"/>
      <c r="S53" s="12"/>
      <c r="T53" s="12"/>
      <c r="U53" s="12"/>
      <c r="V53" s="12"/>
      <c r="W53" s="12"/>
      <c r="X53" s="12"/>
    </row>
    <row r="54" spans="2:24" outlineLevel="1" x14ac:dyDescent="0.2">
      <c r="B54" s="14"/>
      <c r="C54" s="340"/>
      <c r="D54" s="340"/>
      <c r="E54" s="340"/>
      <c r="F54" s="14"/>
      <c r="G54" s="300"/>
      <c r="H54" s="10"/>
      <c r="I54" s="11"/>
      <c r="J54" s="11"/>
      <c r="K54" s="10"/>
      <c r="L54" s="16"/>
      <c r="M54" s="10"/>
      <c r="N54" s="10"/>
      <c r="O54" s="10"/>
      <c r="P54" s="10"/>
      <c r="Q54" s="304"/>
      <c r="R54" s="12"/>
      <c r="S54" s="12"/>
      <c r="T54" s="12"/>
      <c r="U54" s="12"/>
      <c r="V54" s="12"/>
      <c r="W54" s="12"/>
      <c r="X54" s="12"/>
    </row>
    <row r="55" spans="2:24" s="336" customFormat="1" outlineLevel="1" x14ac:dyDescent="0.2">
      <c r="B55" s="14"/>
      <c r="C55" s="340"/>
      <c r="D55" s="340"/>
      <c r="E55" s="340"/>
      <c r="F55" s="14"/>
      <c r="G55" s="300"/>
      <c r="H55" s="10"/>
      <c r="I55" s="11"/>
      <c r="J55" s="11"/>
      <c r="K55" s="10"/>
      <c r="L55" s="16"/>
      <c r="M55" s="10"/>
      <c r="N55" s="10"/>
      <c r="O55" s="10"/>
      <c r="P55" s="10"/>
      <c r="Q55" s="304"/>
      <c r="R55" s="12"/>
      <c r="S55" s="12"/>
      <c r="T55" s="12"/>
      <c r="U55" s="12"/>
      <c r="V55" s="12"/>
      <c r="W55" s="12"/>
      <c r="X55" s="12"/>
    </row>
    <row r="56" spans="2:24" s="336" customFormat="1" outlineLevel="1" x14ac:dyDescent="0.2">
      <c r="B56" s="14"/>
      <c r="C56" s="340"/>
      <c r="D56" s="340"/>
      <c r="E56" s="340"/>
      <c r="F56" s="14"/>
      <c r="G56" s="300"/>
      <c r="H56" s="10"/>
      <c r="I56" s="11"/>
      <c r="J56" s="11"/>
      <c r="K56" s="10"/>
      <c r="L56" s="16"/>
      <c r="M56" s="10"/>
      <c r="N56" s="10"/>
      <c r="O56" s="10"/>
      <c r="P56" s="10"/>
      <c r="Q56" s="304"/>
      <c r="R56" s="12"/>
      <c r="S56" s="12"/>
      <c r="T56" s="12"/>
      <c r="U56" s="12"/>
      <c r="V56" s="12"/>
      <c r="W56" s="12"/>
      <c r="X56" s="12"/>
    </row>
    <row r="57" spans="2:24" s="336" customFormat="1" outlineLevel="1" x14ac:dyDescent="0.2">
      <c r="B57" s="14"/>
      <c r="C57" s="340"/>
      <c r="D57" s="340"/>
      <c r="E57" s="340"/>
      <c r="F57" s="14"/>
      <c r="G57" s="300"/>
      <c r="H57" s="10"/>
      <c r="I57" s="11"/>
      <c r="J57" s="11"/>
      <c r="K57" s="10"/>
      <c r="L57" s="16"/>
      <c r="M57" s="10"/>
      <c r="N57" s="10"/>
      <c r="O57" s="10"/>
      <c r="P57" s="10"/>
      <c r="Q57" s="304"/>
      <c r="R57" s="12"/>
      <c r="S57" s="12"/>
      <c r="T57" s="12"/>
      <c r="U57" s="12"/>
      <c r="V57" s="12"/>
      <c r="W57" s="12"/>
      <c r="X57" s="12"/>
    </row>
    <row r="58" spans="2:24" s="336" customFormat="1" outlineLevel="1" x14ac:dyDescent="0.2">
      <c r="B58" s="14"/>
      <c r="C58" s="340"/>
      <c r="D58" s="340"/>
      <c r="E58" s="340"/>
      <c r="F58" s="14"/>
      <c r="G58" s="300"/>
      <c r="H58" s="10"/>
      <c r="I58" s="11"/>
      <c r="J58" s="11"/>
      <c r="K58" s="10"/>
      <c r="L58" s="16"/>
      <c r="M58" s="10"/>
      <c r="N58" s="10"/>
      <c r="O58" s="10"/>
      <c r="P58" s="10"/>
      <c r="Q58" s="304"/>
      <c r="R58" s="12"/>
      <c r="S58" s="12"/>
      <c r="T58" s="12"/>
      <c r="U58" s="12"/>
      <c r="V58" s="12"/>
      <c r="W58" s="12"/>
      <c r="X58" s="12"/>
    </row>
    <row r="59" spans="2:24" s="336" customFormat="1" outlineLevel="1" x14ac:dyDescent="0.2">
      <c r="B59" s="14"/>
      <c r="C59" s="340"/>
      <c r="D59" s="340"/>
      <c r="E59" s="340"/>
      <c r="F59" s="14"/>
      <c r="G59" s="300"/>
      <c r="H59" s="10"/>
      <c r="I59" s="11"/>
      <c r="J59" s="11"/>
      <c r="K59" s="10"/>
      <c r="L59" s="16"/>
      <c r="M59" s="10"/>
      <c r="N59" s="10"/>
      <c r="O59" s="10"/>
      <c r="P59" s="10"/>
      <c r="Q59" s="304"/>
      <c r="R59" s="12"/>
      <c r="S59" s="12"/>
      <c r="T59" s="12"/>
      <c r="U59" s="12"/>
      <c r="V59" s="12"/>
      <c r="W59" s="12"/>
      <c r="X59" s="12"/>
    </row>
    <row r="60" spans="2:24" s="336" customFormat="1" outlineLevel="1" x14ac:dyDescent="0.2">
      <c r="B60" s="14"/>
      <c r="C60" s="340"/>
      <c r="D60" s="340"/>
      <c r="E60" s="340"/>
      <c r="F60" s="14"/>
      <c r="G60" s="300"/>
      <c r="H60" s="10"/>
      <c r="I60" s="11"/>
      <c r="J60" s="11"/>
      <c r="K60" s="10"/>
      <c r="L60" s="16"/>
      <c r="M60" s="10"/>
      <c r="N60" s="10"/>
      <c r="O60" s="10"/>
      <c r="P60" s="10"/>
      <c r="Q60" s="304"/>
      <c r="R60" s="12"/>
      <c r="S60" s="12"/>
      <c r="T60" s="12"/>
      <c r="U60" s="12"/>
      <c r="V60" s="12"/>
      <c r="W60" s="12"/>
      <c r="X60" s="12"/>
    </row>
    <row r="61" spans="2:24" s="336" customFormat="1" outlineLevel="1" x14ac:dyDescent="0.2">
      <c r="B61" s="14"/>
      <c r="C61" s="340"/>
      <c r="D61" s="340"/>
      <c r="E61" s="340"/>
      <c r="F61" s="14"/>
      <c r="G61" s="300"/>
      <c r="H61" s="10"/>
      <c r="I61" s="11"/>
      <c r="J61" s="11"/>
      <c r="K61" s="10"/>
      <c r="L61" s="16"/>
      <c r="M61" s="10"/>
      <c r="N61" s="10"/>
      <c r="O61" s="10"/>
      <c r="P61" s="10"/>
      <c r="Q61" s="304"/>
      <c r="R61" s="12"/>
      <c r="S61" s="12"/>
      <c r="T61" s="12"/>
      <c r="U61" s="12"/>
      <c r="V61" s="12"/>
      <c r="W61" s="12"/>
      <c r="X61" s="12"/>
    </row>
    <row r="62" spans="2:24" s="336" customFormat="1" outlineLevel="1" x14ac:dyDescent="0.2">
      <c r="B62" s="14"/>
      <c r="C62" s="340"/>
      <c r="D62" s="340"/>
      <c r="E62" s="340"/>
      <c r="F62" s="14"/>
      <c r="G62" s="300"/>
      <c r="H62" s="10"/>
      <c r="I62" s="11"/>
      <c r="J62" s="11"/>
      <c r="K62" s="10"/>
      <c r="L62" s="16"/>
      <c r="M62" s="10"/>
      <c r="N62" s="10"/>
      <c r="O62" s="10"/>
      <c r="P62" s="10"/>
      <c r="Q62" s="304"/>
      <c r="R62" s="12"/>
      <c r="S62" s="12"/>
      <c r="T62" s="12"/>
      <c r="U62" s="12"/>
      <c r="V62" s="12"/>
      <c r="W62" s="12"/>
      <c r="X62" s="12"/>
    </row>
    <row r="63" spans="2:24" s="336" customFormat="1" outlineLevel="1" x14ac:dyDescent="0.2">
      <c r="B63" s="14"/>
      <c r="C63" s="340"/>
      <c r="D63" s="340"/>
      <c r="E63" s="340"/>
      <c r="F63" s="14"/>
      <c r="G63" s="300"/>
      <c r="H63" s="10"/>
      <c r="I63" s="11"/>
      <c r="J63" s="11"/>
      <c r="K63" s="10"/>
      <c r="L63" s="16"/>
      <c r="M63" s="10"/>
      <c r="N63" s="10"/>
      <c r="O63" s="10"/>
      <c r="P63" s="10"/>
      <c r="Q63" s="304"/>
      <c r="R63" s="12"/>
      <c r="S63" s="12"/>
      <c r="T63" s="12"/>
      <c r="U63" s="12"/>
      <c r="V63" s="12"/>
      <c r="W63" s="12"/>
      <c r="X63" s="12"/>
    </row>
    <row r="64" spans="2:24" s="336" customFormat="1" outlineLevel="1" x14ac:dyDescent="0.2">
      <c r="B64" s="14"/>
      <c r="C64" s="340"/>
      <c r="D64" s="340"/>
      <c r="E64" s="340"/>
      <c r="F64" s="14"/>
      <c r="G64" s="300"/>
      <c r="H64" s="10"/>
      <c r="I64" s="11"/>
      <c r="J64" s="11"/>
      <c r="K64" s="10"/>
      <c r="L64" s="16"/>
      <c r="M64" s="10"/>
      <c r="N64" s="10"/>
      <c r="O64" s="10"/>
      <c r="P64" s="10"/>
      <c r="Q64" s="304"/>
      <c r="R64" s="12"/>
      <c r="S64" s="12"/>
      <c r="T64" s="12"/>
      <c r="U64" s="12"/>
      <c r="V64" s="12"/>
      <c r="W64" s="12"/>
      <c r="X64" s="12"/>
    </row>
    <row r="65" spans="2:24" s="336" customFormat="1" outlineLevel="1" x14ac:dyDescent="0.2">
      <c r="B65" s="14"/>
      <c r="C65" s="340"/>
      <c r="D65" s="340"/>
      <c r="E65" s="340"/>
      <c r="F65" s="14"/>
      <c r="G65" s="300"/>
      <c r="H65" s="10"/>
      <c r="I65" s="11"/>
      <c r="J65" s="11"/>
      <c r="K65" s="10"/>
      <c r="L65" s="16"/>
      <c r="M65" s="10"/>
      <c r="N65" s="10"/>
      <c r="O65" s="10"/>
      <c r="P65" s="10"/>
      <c r="Q65" s="304"/>
      <c r="R65" s="12"/>
      <c r="S65" s="12"/>
      <c r="T65" s="12"/>
      <c r="U65" s="12"/>
      <c r="V65" s="12"/>
      <c r="W65" s="12"/>
      <c r="X65" s="12"/>
    </row>
    <row r="66" spans="2:24" s="336" customFormat="1" outlineLevel="1" x14ac:dyDescent="0.2">
      <c r="B66" s="14"/>
      <c r="C66" s="340"/>
      <c r="D66" s="340"/>
      <c r="E66" s="340"/>
      <c r="F66" s="14"/>
      <c r="G66" s="300"/>
      <c r="H66" s="10"/>
      <c r="I66" s="11"/>
      <c r="J66" s="11"/>
      <c r="K66" s="10"/>
      <c r="L66" s="16"/>
      <c r="M66" s="10"/>
      <c r="N66" s="10"/>
      <c r="O66" s="10"/>
      <c r="P66" s="10"/>
      <c r="Q66" s="304"/>
      <c r="R66" s="12"/>
      <c r="S66" s="12"/>
      <c r="T66" s="12"/>
      <c r="U66" s="12"/>
      <c r="V66" s="12"/>
      <c r="W66" s="12"/>
      <c r="X66" s="12"/>
    </row>
    <row r="67" spans="2:24" s="336" customFormat="1" outlineLevel="1" x14ac:dyDescent="0.2">
      <c r="B67" s="14"/>
      <c r="C67" s="340"/>
      <c r="D67" s="340"/>
      <c r="E67" s="340"/>
      <c r="F67" s="14"/>
      <c r="G67" s="300"/>
      <c r="H67" s="10"/>
      <c r="I67" s="11"/>
      <c r="J67" s="11"/>
      <c r="K67" s="10"/>
      <c r="L67" s="16"/>
      <c r="M67" s="10"/>
      <c r="N67" s="10"/>
      <c r="O67" s="10"/>
      <c r="P67" s="10"/>
      <c r="Q67" s="304"/>
      <c r="R67" s="12"/>
      <c r="S67" s="12"/>
      <c r="T67" s="12"/>
      <c r="U67" s="12"/>
      <c r="V67" s="12"/>
      <c r="W67" s="12"/>
      <c r="X67" s="12"/>
    </row>
    <row r="68" spans="2:24" s="336" customFormat="1" outlineLevel="1" x14ac:dyDescent="0.2">
      <c r="B68" s="14"/>
      <c r="C68" s="340"/>
      <c r="D68" s="340"/>
      <c r="E68" s="340"/>
      <c r="F68" s="14"/>
      <c r="G68" s="300"/>
      <c r="H68" s="10"/>
      <c r="I68" s="11"/>
      <c r="J68" s="11"/>
      <c r="K68" s="10"/>
      <c r="L68" s="16"/>
      <c r="M68" s="10"/>
      <c r="N68" s="10"/>
      <c r="O68" s="10"/>
      <c r="P68" s="10"/>
      <c r="Q68" s="304"/>
      <c r="R68" s="12"/>
      <c r="S68" s="12"/>
      <c r="T68" s="12"/>
      <c r="U68" s="12"/>
      <c r="V68" s="12"/>
      <c r="W68" s="12"/>
      <c r="X68" s="12"/>
    </row>
    <row r="69" spans="2:24" s="336" customFormat="1" outlineLevel="1" x14ac:dyDescent="0.2">
      <c r="B69" s="14"/>
      <c r="C69" s="340"/>
      <c r="D69" s="340"/>
      <c r="E69" s="340"/>
      <c r="F69" s="14"/>
      <c r="G69" s="300"/>
      <c r="H69" s="10"/>
      <c r="I69" s="11"/>
      <c r="J69" s="11"/>
      <c r="K69" s="10"/>
      <c r="L69" s="16"/>
      <c r="M69" s="10"/>
      <c r="N69" s="10"/>
      <c r="O69" s="10"/>
      <c r="P69" s="10"/>
      <c r="Q69" s="304"/>
      <c r="R69" s="12"/>
      <c r="S69" s="12"/>
      <c r="T69" s="12"/>
      <c r="U69" s="12"/>
      <c r="V69" s="12"/>
      <c r="W69" s="12"/>
      <c r="X69" s="12"/>
    </row>
    <row r="70" spans="2:24" s="336" customFormat="1" outlineLevel="1" x14ac:dyDescent="0.2">
      <c r="B70" s="331"/>
      <c r="C70" s="341"/>
      <c r="D70" s="341"/>
      <c r="E70" s="341"/>
      <c r="F70" s="331"/>
      <c r="G70" s="330"/>
      <c r="H70" s="332"/>
      <c r="I70" s="330"/>
      <c r="J70" s="330"/>
      <c r="K70" s="332"/>
      <c r="L70" s="333"/>
      <c r="M70" s="332"/>
      <c r="N70" s="332"/>
      <c r="O70" s="332"/>
      <c r="P70" s="332"/>
      <c r="Q70" s="334"/>
      <c r="R70" s="335"/>
      <c r="S70" s="335"/>
      <c r="T70" s="335"/>
      <c r="U70" s="335"/>
      <c r="V70" s="335"/>
      <c r="W70" s="335"/>
      <c r="X70" s="335"/>
    </row>
    <row r="71" spans="2:24" s="336" customFormat="1" outlineLevel="1" x14ac:dyDescent="0.2">
      <c r="B71" s="331"/>
      <c r="C71" s="341"/>
      <c r="D71" s="341"/>
      <c r="E71" s="341"/>
      <c r="F71" s="331"/>
      <c r="G71" s="330"/>
      <c r="H71" s="332"/>
      <c r="I71" s="330"/>
      <c r="J71" s="330"/>
      <c r="K71" s="332"/>
      <c r="L71" s="333"/>
      <c r="M71" s="332"/>
      <c r="N71" s="332"/>
      <c r="O71" s="332"/>
      <c r="P71" s="332"/>
      <c r="Q71" s="334"/>
      <c r="R71" s="335"/>
      <c r="S71" s="335"/>
      <c r="T71" s="335"/>
      <c r="U71" s="335"/>
      <c r="V71" s="335"/>
      <c r="W71" s="335"/>
      <c r="X71" s="335"/>
    </row>
    <row r="72" spans="2:24" s="336" customFormat="1" outlineLevel="1" x14ac:dyDescent="0.2">
      <c r="B72" s="331"/>
      <c r="C72" s="341"/>
      <c r="D72" s="341"/>
      <c r="E72" s="341"/>
      <c r="F72" s="331"/>
      <c r="G72" s="330"/>
      <c r="H72" s="332"/>
      <c r="I72" s="330"/>
      <c r="J72" s="330"/>
      <c r="K72" s="332"/>
      <c r="L72" s="333"/>
      <c r="M72" s="332"/>
      <c r="N72" s="332"/>
      <c r="O72" s="332"/>
      <c r="P72" s="332"/>
      <c r="Q72" s="334"/>
      <c r="R72" s="335"/>
      <c r="S72" s="335"/>
      <c r="T72" s="335"/>
      <c r="U72" s="335"/>
      <c r="V72" s="335"/>
      <c r="W72" s="335"/>
      <c r="X72" s="335"/>
    </row>
    <row r="73" spans="2:24" s="336" customFormat="1" outlineLevel="1" x14ac:dyDescent="0.2">
      <c r="B73" s="331"/>
      <c r="C73" s="341"/>
      <c r="D73" s="341"/>
      <c r="E73" s="341"/>
      <c r="F73" s="331"/>
      <c r="G73" s="330"/>
      <c r="H73" s="332"/>
      <c r="I73" s="330"/>
      <c r="J73" s="330"/>
      <c r="K73" s="332"/>
      <c r="L73" s="333"/>
      <c r="M73" s="332"/>
      <c r="N73" s="332"/>
      <c r="O73" s="332"/>
      <c r="P73" s="332"/>
      <c r="Q73" s="334"/>
      <c r="R73" s="335"/>
      <c r="S73" s="335"/>
      <c r="T73" s="335"/>
      <c r="U73" s="335"/>
      <c r="V73" s="335"/>
      <c r="W73" s="335"/>
      <c r="X73" s="335"/>
    </row>
    <row r="74" spans="2:24" s="336" customFormat="1" outlineLevel="1" x14ac:dyDescent="0.2">
      <c r="B74" s="331"/>
      <c r="C74" s="341"/>
      <c r="D74" s="341"/>
      <c r="E74" s="341"/>
      <c r="F74" s="331"/>
      <c r="G74" s="330"/>
      <c r="H74" s="332"/>
      <c r="I74" s="330"/>
      <c r="J74" s="330"/>
      <c r="K74" s="332"/>
      <c r="L74" s="333"/>
      <c r="M74" s="332"/>
      <c r="N74" s="332"/>
      <c r="O74" s="332"/>
      <c r="P74" s="332"/>
      <c r="Q74" s="334"/>
      <c r="R74" s="335"/>
      <c r="S74" s="335"/>
      <c r="T74" s="335"/>
      <c r="U74" s="335"/>
      <c r="V74" s="335"/>
      <c r="W74" s="335"/>
      <c r="X74" s="335"/>
    </row>
    <row r="75" spans="2:24" s="336" customFormat="1" outlineLevel="1" x14ac:dyDescent="0.2">
      <c r="B75" s="331"/>
      <c r="C75" s="341"/>
      <c r="D75" s="341"/>
      <c r="E75" s="341"/>
      <c r="F75" s="331"/>
      <c r="G75" s="330"/>
      <c r="H75" s="332"/>
      <c r="I75" s="330"/>
      <c r="J75" s="330"/>
      <c r="K75" s="332"/>
      <c r="L75" s="333"/>
      <c r="M75" s="332"/>
      <c r="N75" s="332"/>
      <c r="O75" s="332"/>
      <c r="P75" s="332"/>
      <c r="Q75" s="334"/>
      <c r="R75" s="335"/>
      <c r="S75" s="335"/>
      <c r="T75" s="335"/>
      <c r="U75" s="335"/>
      <c r="V75" s="335"/>
      <c r="W75" s="335"/>
      <c r="X75" s="335"/>
    </row>
    <row r="76" spans="2:24" s="336" customFormat="1" outlineLevel="1" x14ac:dyDescent="0.2">
      <c r="B76" s="331"/>
      <c r="C76" s="341"/>
      <c r="D76" s="341"/>
      <c r="E76" s="341"/>
      <c r="F76" s="331"/>
      <c r="G76" s="330"/>
      <c r="H76" s="332"/>
      <c r="I76" s="330"/>
      <c r="J76" s="330"/>
      <c r="K76" s="332"/>
      <c r="L76" s="333"/>
      <c r="M76" s="332"/>
      <c r="N76" s="332"/>
      <c r="O76" s="332"/>
      <c r="P76" s="332"/>
      <c r="Q76" s="334"/>
      <c r="R76" s="335"/>
      <c r="S76" s="335"/>
      <c r="T76" s="335"/>
      <c r="U76" s="335"/>
      <c r="V76" s="335"/>
      <c r="W76" s="335"/>
      <c r="X76" s="335"/>
    </row>
    <row r="77" spans="2:24" s="336" customFormat="1" outlineLevel="1" x14ac:dyDescent="0.2">
      <c r="B77" s="331"/>
      <c r="C77" s="341"/>
      <c r="D77" s="341"/>
      <c r="E77" s="341"/>
      <c r="F77" s="331"/>
      <c r="G77" s="330"/>
      <c r="H77" s="332"/>
      <c r="I77" s="330"/>
      <c r="J77" s="330"/>
      <c r="K77" s="332"/>
      <c r="L77" s="333"/>
      <c r="M77" s="332"/>
      <c r="N77" s="332"/>
      <c r="O77" s="332"/>
      <c r="P77" s="332"/>
      <c r="Q77" s="334"/>
      <c r="R77" s="335"/>
      <c r="S77" s="335"/>
      <c r="T77" s="335"/>
      <c r="U77" s="335"/>
      <c r="V77" s="335"/>
      <c r="W77" s="335"/>
      <c r="X77" s="335"/>
    </row>
    <row r="78" spans="2:24" s="336" customFormat="1" outlineLevel="1" x14ac:dyDescent="0.2">
      <c r="B78" s="331"/>
      <c r="C78" s="341"/>
      <c r="D78" s="341"/>
      <c r="E78" s="341"/>
      <c r="F78" s="331"/>
      <c r="G78" s="330"/>
      <c r="H78" s="332"/>
      <c r="I78" s="330"/>
      <c r="J78" s="330"/>
      <c r="K78" s="332"/>
      <c r="L78" s="333"/>
      <c r="M78" s="332"/>
      <c r="N78" s="332"/>
      <c r="O78" s="332"/>
      <c r="P78" s="332"/>
      <c r="Q78" s="334"/>
      <c r="R78" s="335"/>
      <c r="S78" s="335"/>
      <c r="T78" s="335"/>
      <c r="U78" s="335"/>
      <c r="V78" s="335"/>
      <c r="W78" s="335"/>
      <c r="X78" s="335"/>
    </row>
    <row r="79" spans="2:24" s="336" customFormat="1" outlineLevel="1" x14ac:dyDescent="0.2">
      <c r="B79" s="331"/>
      <c r="C79" s="341"/>
      <c r="D79" s="341"/>
      <c r="E79" s="341"/>
      <c r="F79" s="331"/>
      <c r="G79" s="330"/>
      <c r="H79" s="332"/>
      <c r="I79" s="330"/>
      <c r="J79" s="330"/>
      <c r="K79" s="332"/>
      <c r="L79" s="333"/>
      <c r="M79" s="332"/>
      <c r="N79" s="332"/>
      <c r="O79" s="332"/>
      <c r="P79" s="332"/>
      <c r="Q79" s="334"/>
      <c r="R79" s="335"/>
      <c r="S79" s="335"/>
      <c r="T79" s="335"/>
      <c r="U79" s="335"/>
      <c r="V79" s="335"/>
      <c r="W79" s="335"/>
      <c r="X79" s="335"/>
    </row>
    <row r="80" spans="2:24" s="336" customFormat="1" outlineLevel="1" x14ac:dyDescent="0.2">
      <c r="B80" s="331"/>
      <c r="C80" s="341"/>
      <c r="D80" s="341"/>
      <c r="E80" s="341"/>
      <c r="F80" s="331"/>
      <c r="G80" s="330"/>
      <c r="H80" s="332"/>
      <c r="I80" s="330"/>
      <c r="J80" s="330"/>
      <c r="K80" s="332"/>
      <c r="L80" s="333"/>
      <c r="M80" s="332"/>
      <c r="N80" s="332"/>
      <c r="O80" s="332"/>
      <c r="P80" s="332"/>
      <c r="Q80" s="334"/>
      <c r="R80" s="335"/>
      <c r="S80" s="335"/>
      <c r="T80" s="335"/>
      <c r="U80" s="335"/>
      <c r="V80" s="335"/>
      <c r="W80" s="335"/>
      <c r="X80" s="335"/>
    </row>
    <row r="81" spans="2:24" s="336" customFormat="1" outlineLevel="1" x14ac:dyDescent="0.2">
      <c r="B81" s="331"/>
      <c r="C81" s="341"/>
      <c r="D81" s="341"/>
      <c r="E81" s="341"/>
      <c r="F81" s="331"/>
      <c r="G81" s="330"/>
      <c r="H81" s="332"/>
      <c r="I81" s="330"/>
      <c r="J81" s="330"/>
      <c r="K81" s="332"/>
      <c r="L81" s="333"/>
      <c r="M81" s="332"/>
      <c r="N81" s="332"/>
      <c r="O81" s="332"/>
      <c r="P81" s="332"/>
      <c r="Q81" s="334"/>
      <c r="R81" s="335"/>
      <c r="S81" s="335"/>
      <c r="T81" s="335"/>
      <c r="U81" s="335"/>
      <c r="V81" s="335"/>
      <c r="W81" s="335"/>
      <c r="X81" s="335"/>
    </row>
    <row r="82" spans="2:24" s="336" customFormat="1" outlineLevel="1" x14ac:dyDescent="0.2">
      <c r="B82" s="331"/>
      <c r="C82" s="341"/>
      <c r="D82" s="341"/>
      <c r="E82" s="341"/>
      <c r="F82" s="331"/>
      <c r="G82" s="330"/>
      <c r="H82" s="332"/>
      <c r="I82" s="330"/>
      <c r="J82" s="330"/>
      <c r="K82" s="332"/>
      <c r="L82" s="333"/>
      <c r="M82" s="332"/>
      <c r="N82" s="332"/>
      <c r="O82" s="332"/>
      <c r="P82" s="332"/>
      <c r="Q82" s="334"/>
      <c r="R82" s="335"/>
      <c r="S82" s="335"/>
      <c r="T82" s="335"/>
      <c r="U82" s="335"/>
      <c r="V82" s="335"/>
      <c r="W82" s="335"/>
      <c r="X82" s="335"/>
    </row>
    <row r="83" spans="2:24" s="336" customFormat="1" outlineLevel="1" x14ac:dyDescent="0.2">
      <c r="B83" s="331"/>
      <c r="C83" s="341"/>
      <c r="D83" s="341"/>
      <c r="E83" s="341"/>
      <c r="F83" s="331"/>
      <c r="G83" s="330"/>
      <c r="H83" s="332"/>
      <c r="I83" s="330"/>
      <c r="J83" s="330"/>
      <c r="K83" s="332"/>
      <c r="L83" s="333"/>
      <c r="M83" s="332"/>
      <c r="N83" s="332"/>
      <c r="O83" s="332"/>
      <c r="P83" s="332"/>
      <c r="Q83" s="334"/>
      <c r="R83" s="335"/>
      <c r="S83" s="335"/>
      <c r="T83" s="335"/>
      <c r="U83" s="335"/>
      <c r="V83" s="335"/>
      <c r="W83" s="335"/>
      <c r="X83" s="335"/>
    </row>
    <row r="84" spans="2:24" s="336" customFormat="1" outlineLevel="1" x14ac:dyDescent="0.2">
      <c r="B84" s="331"/>
      <c r="C84" s="341"/>
      <c r="D84" s="341"/>
      <c r="E84" s="341"/>
      <c r="F84" s="331"/>
      <c r="G84" s="330"/>
      <c r="H84" s="332"/>
      <c r="I84" s="330"/>
      <c r="J84" s="330"/>
      <c r="K84" s="332"/>
      <c r="L84" s="333"/>
      <c r="M84" s="332"/>
      <c r="N84" s="332"/>
      <c r="O84" s="332"/>
      <c r="P84" s="332"/>
      <c r="Q84" s="334"/>
      <c r="R84" s="335"/>
      <c r="S84" s="335"/>
      <c r="T84" s="335"/>
      <c r="U84" s="335"/>
      <c r="V84" s="335"/>
      <c r="W84" s="335"/>
      <c r="X84" s="335"/>
    </row>
    <row r="85" spans="2:24" s="336" customFormat="1" outlineLevel="1" x14ac:dyDescent="0.2">
      <c r="B85" s="331"/>
      <c r="C85" s="341"/>
      <c r="D85" s="341"/>
      <c r="E85" s="341"/>
      <c r="F85" s="331"/>
      <c r="G85" s="330"/>
      <c r="H85" s="332"/>
      <c r="I85" s="330"/>
      <c r="J85" s="330"/>
      <c r="K85" s="332"/>
      <c r="L85" s="333"/>
      <c r="M85" s="332"/>
      <c r="N85" s="332"/>
      <c r="O85" s="332"/>
      <c r="P85" s="332"/>
      <c r="Q85" s="334"/>
      <c r="R85" s="335"/>
      <c r="S85" s="335"/>
      <c r="T85" s="335"/>
      <c r="U85" s="335"/>
      <c r="V85" s="335"/>
      <c r="W85" s="335"/>
      <c r="X85" s="335"/>
    </row>
    <row r="86" spans="2:24" s="336" customFormat="1" outlineLevel="1" x14ac:dyDescent="0.2">
      <c r="B86" s="331"/>
      <c r="C86" s="341"/>
      <c r="D86" s="341"/>
      <c r="E86" s="341"/>
      <c r="F86" s="331"/>
      <c r="G86" s="330"/>
      <c r="H86" s="332"/>
      <c r="I86" s="330"/>
      <c r="J86" s="330"/>
      <c r="K86" s="332"/>
      <c r="L86" s="333"/>
      <c r="M86" s="332"/>
      <c r="N86" s="332"/>
      <c r="O86" s="332"/>
      <c r="P86" s="332"/>
      <c r="Q86" s="334"/>
      <c r="R86" s="335"/>
      <c r="S86" s="335"/>
      <c r="T86" s="335"/>
      <c r="U86" s="335"/>
      <c r="V86" s="335"/>
      <c r="W86" s="335"/>
      <c r="X86" s="335"/>
    </row>
    <row r="87" spans="2:24" s="336" customFormat="1" outlineLevel="1" x14ac:dyDescent="0.2">
      <c r="B87" s="331"/>
      <c r="C87" s="341"/>
      <c r="D87" s="341"/>
      <c r="E87" s="341"/>
      <c r="F87" s="331"/>
      <c r="G87" s="330"/>
      <c r="H87" s="332"/>
      <c r="I87" s="330"/>
      <c r="J87" s="330"/>
      <c r="K87" s="332"/>
      <c r="L87" s="333"/>
      <c r="M87" s="332"/>
      <c r="N87" s="332"/>
      <c r="O87" s="332"/>
      <c r="P87" s="332"/>
      <c r="Q87" s="334"/>
      <c r="R87" s="335"/>
      <c r="S87" s="335"/>
      <c r="T87" s="335"/>
      <c r="U87" s="335"/>
      <c r="V87" s="335"/>
      <c r="W87" s="335"/>
      <c r="X87" s="335"/>
    </row>
    <row r="88" spans="2:24" s="336" customFormat="1" outlineLevel="1" x14ac:dyDescent="0.2">
      <c r="B88" s="331"/>
      <c r="C88" s="341"/>
      <c r="D88" s="341"/>
      <c r="E88" s="341"/>
      <c r="F88" s="331"/>
      <c r="G88" s="330"/>
      <c r="H88" s="332"/>
      <c r="I88" s="330"/>
      <c r="J88" s="330"/>
      <c r="K88" s="332"/>
      <c r="L88" s="333"/>
      <c r="M88" s="332"/>
      <c r="N88" s="332"/>
      <c r="O88" s="332"/>
      <c r="P88" s="332"/>
      <c r="Q88" s="334"/>
      <c r="R88" s="335"/>
      <c r="S88" s="335"/>
      <c r="T88" s="335"/>
      <c r="U88" s="335"/>
      <c r="V88" s="335"/>
      <c r="W88" s="335"/>
      <c r="X88" s="335"/>
    </row>
    <row r="89" spans="2:24" s="336" customFormat="1" outlineLevel="1" x14ac:dyDescent="0.2">
      <c r="B89" s="331"/>
      <c r="C89" s="341"/>
      <c r="D89" s="341"/>
      <c r="E89" s="341"/>
      <c r="F89" s="331"/>
      <c r="G89" s="330"/>
      <c r="H89" s="332"/>
      <c r="I89" s="330"/>
      <c r="J89" s="330"/>
      <c r="K89" s="332"/>
      <c r="L89" s="333"/>
      <c r="M89" s="332"/>
      <c r="N89" s="332"/>
      <c r="O89" s="332"/>
      <c r="P89" s="332"/>
      <c r="Q89" s="334"/>
      <c r="R89" s="335"/>
      <c r="S89" s="335"/>
      <c r="T89" s="335"/>
      <c r="U89" s="335"/>
      <c r="V89" s="335"/>
      <c r="W89" s="335"/>
      <c r="X89" s="335"/>
    </row>
    <row r="90" spans="2:24" outlineLevel="1" x14ac:dyDescent="0.2">
      <c r="B90" s="14"/>
      <c r="C90" s="342"/>
      <c r="D90" s="342"/>
      <c r="E90" s="342"/>
      <c r="F90" s="14"/>
      <c r="G90" s="300"/>
      <c r="H90" s="10"/>
      <c r="I90" s="11"/>
      <c r="J90" s="11"/>
      <c r="K90" s="10"/>
      <c r="L90" s="16"/>
      <c r="M90" s="10"/>
      <c r="N90" s="10"/>
      <c r="O90" s="10"/>
      <c r="P90" s="10"/>
      <c r="Q90" s="304"/>
      <c r="R90" s="12"/>
      <c r="S90" s="12"/>
      <c r="T90" s="12"/>
      <c r="U90" s="12"/>
      <c r="V90" s="12"/>
      <c r="W90" s="12"/>
      <c r="X90" s="12"/>
    </row>
    <row r="91" spans="2:24" outlineLevel="1" x14ac:dyDescent="0.2">
      <c r="B91" s="14"/>
      <c r="C91" s="342"/>
      <c r="D91" s="342"/>
      <c r="E91" s="342"/>
      <c r="F91" s="14"/>
      <c r="G91" s="300"/>
      <c r="H91" s="10"/>
      <c r="I91" s="11"/>
      <c r="J91" s="11"/>
      <c r="K91" s="10"/>
      <c r="L91" s="16"/>
      <c r="M91" s="10"/>
      <c r="N91" s="10"/>
      <c r="O91" s="10"/>
      <c r="P91" s="10"/>
      <c r="Q91" s="304"/>
      <c r="R91" s="12"/>
      <c r="S91" s="12"/>
      <c r="T91" s="12"/>
      <c r="U91" s="12"/>
      <c r="V91" s="12"/>
      <c r="W91" s="12"/>
      <c r="X91" s="12"/>
    </row>
    <row r="92" spans="2:24" outlineLevel="1" x14ac:dyDescent="0.2">
      <c r="B92" s="14"/>
      <c r="C92" s="342"/>
      <c r="D92" s="342"/>
      <c r="E92" s="342"/>
      <c r="F92" s="14"/>
      <c r="G92" s="300"/>
      <c r="H92" s="10"/>
      <c r="I92" s="11"/>
      <c r="J92" s="11"/>
      <c r="K92" s="10"/>
      <c r="L92" s="16"/>
      <c r="M92" s="10"/>
      <c r="N92" s="10"/>
      <c r="O92" s="10"/>
      <c r="P92" s="10"/>
      <c r="Q92" s="304"/>
      <c r="R92" s="12"/>
      <c r="S92" s="12"/>
      <c r="T92" s="12"/>
      <c r="U92" s="12"/>
      <c r="V92" s="12"/>
      <c r="W92" s="12"/>
      <c r="X92" s="12"/>
    </row>
    <row r="93" spans="2:24" outlineLevel="1" x14ac:dyDescent="0.2">
      <c r="B93" s="14"/>
      <c r="C93" s="342"/>
      <c r="D93" s="342"/>
      <c r="E93" s="342"/>
      <c r="F93" s="14"/>
      <c r="G93" s="300"/>
      <c r="H93" s="10"/>
      <c r="I93" s="11"/>
      <c r="J93" s="11"/>
      <c r="K93" s="10"/>
      <c r="L93" s="16"/>
      <c r="M93" s="10"/>
      <c r="N93" s="10"/>
      <c r="O93" s="10"/>
      <c r="P93" s="10"/>
      <c r="Q93" s="304"/>
      <c r="R93" s="12"/>
      <c r="S93" s="12"/>
      <c r="T93" s="12"/>
      <c r="U93" s="12"/>
      <c r="V93" s="12"/>
      <c r="W93" s="12"/>
      <c r="X93" s="12"/>
    </row>
    <row r="94" spans="2:24" outlineLevel="1" x14ac:dyDescent="0.2">
      <c r="B94" s="14"/>
      <c r="C94" s="342"/>
      <c r="D94" s="342"/>
      <c r="E94" s="342"/>
      <c r="F94" s="14"/>
      <c r="G94" s="300"/>
      <c r="H94" s="10"/>
      <c r="I94" s="11"/>
      <c r="J94" s="11"/>
      <c r="K94" s="10"/>
      <c r="L94" s="16"/>
      <c r="M94" s="10"/>
      <c r="N94" s="10"/>
      <c r="O94" s="10"/>
      <c r="P94" s="10"/>
      <c r="Q94" s="304"/>
      <c r="R94" s="12"/>
      <c r="S94" s="12"/>
      <c r="T94" s="12"/>
      <c r="U94" s="12"/>
      <c r="V94" s="12"/>
      <c r="W94" s="12"/>
      <c r="X94" s="12"/>
    </row>
    <row r="95" spans="2:24" outlineLevel="1" x14ac:dyDescent="0.2">
      <c r="B95" s="14"/>
      <c r="C95" s="342"/>
      <c r="D95" s="342"/>
      <c r="E95" s="342"/>
      <c r="F95" s="14"/>
      <c r="G95" s="300"/>
      <c r="H95" s="10"/>
      <c r="I95" s="11"/>
      <c r="J95" s="11"/>
      <c r="K95" s="10"/>
      <c r="L95" s="16"/>
      <c r="M95" s="10"/>
      <c r="N95" s="10"/>
      <c r="O95" s="10"/>
      <c r="P95" s="10"/>
      <c r="Q95" s="304"/>
      <c r="R95" s="12"/>
      <c r="S95" s="12"/>
      <c r="T95" s="12"/>
      <c r="U95" s="12"/>
      <c r="V95" s="12"/>
      <c r="W95" s="12"/>
      <c r="X95" s="12"/>
    </row>
    <row r="96" spans="2:24" outlineLevel="1" x14ac:dyDescent="0.2">
      <c r="B96" s="14" t="str">
        <f>IF('Employee Input 16-17'!B96="","",'Employee Input 16-17'!B96)</f>
        <v/>
      </c>
      <c r="C96" s="340" t="str">
        <f>IF('Employee Input 16-17'!C96="","",'Employee Input 16-17'!C96)</f>
        <v/>
      </c>
      <c r="D96" s="340" t="str">
        <f>IF('Employee Input 16-17'!D96="","",'Employee Input 16-17'!D96)</f>
        <v/>
      </c>
      <c r="E96" s="340" t="str">
        <f>IF('Employee Input 16-17'!E96="","",'Employee Input 16-17'!E96)</f>
        <v/>
      </c>
      <c r="F96" s="14" t="str">
        <f>IF('Employee Input 16-17'!F96="","",'Employee Input 16-17'!F96)</f>
        <v/>
      </c>
      <c r="G96" s="175"/>
      <c r="H96" s="10"/>
      <c r="I96" s="175"/>
      <c r="J96" s="175"/>
      <c r="K96" s="10"/>
      <c r="L96" s="14"/>
      <c r="M96" s="10"/>
      <c r="N96" s="10"/>
      <c r="O96" s="10"/>
      <c r="P96" s="10"/>
      <c r="Q96" s="11"/>
      <c r="R96" s="12"/>
      <c r="S96" s="12"/>
      <c r="T96" s="12"/>
      <c r="U96" s="12"/>
      <c r="V96" s="12"/>
      <c r="W96" s="12"/>
      <c r="X96" s="12"/>
    </row>
    <row r="97" spans="1:24" outlineLevel="1" x14ac:dyDescent="0.2">
      <c r="B97" s="14" t="str">
        <f>IF('Employee Input 16-17'!B97="","",'Employee Input 16-17'!B97)</f>
        <v/>
      </c>
      <c r="C97" s="340" t="str">
        <f>IF('Employee Input 16-17'!C97="","",'Employee Input 16-17'!C97)</f>
        <v/>
      </c>
      <c r="D97" s="340" t="str">
        <f>IF('Employee Input 16-17'!D97="","",'Employee Input 16-17'!D97)</f>
        <v/>
      </c>
      <c r="E97" s="340" t="str">
        <f>IF('Employee Input 16-17'!E97="","",'Employee Input 16-17'!E97)</f>
        <v/>
      </c>
      <c r="F97" s="14" t="str">
        <f>IF('Employee Input 16-17'!F97="","",'Employee Input 16-17'!F97)</f>
        <v/>
      </c>
      <c r="G97" s="175" t="str">
        <f>IF('Employee Input 16-17'!G97="","",'Employee Input 16-17'!G97)</f>
        <v/>
      </c>
      <c r="H97" s="10" t="str">
        <f t="shared" ref="H97" si="18">IF(F97="","",F97*G97)</f>
        <v/>
      </c>
      <c r="I97" s="175" t="str">
        <f>IF('Employee Input 16-17'!I97="","",'Employee Input 16-17'!I97)</f>
        <v/>
      </c>
      <c r="J97" s="175" t="str">
        <f>IF('Employee Input 16-17'!J97="","",'Employee Input 16-17'!J97)</f>
        <v/>
      </c>
      <c r="K97" s="10" t="str">
        <f>IF(SUM(H97:J97)&gt;0,SUM(H97:J97),"")</f>
        <v/>
      </c>
      <c r="L97" s="14" t="str">
        <f>IF('Employee Input 16-17'!L97="","",'Employee Input 16-17'!L97)</f>
        <v/>
      </c>
    </row>
    <row r="98" spans="1:24" ht="17" thickBot="1" x14ac:dyDescent="0.25">
      <c r="A98" s="23"/>
      <c r="B98" s="39"/>
      <c r="C98" s="339"/>
      <c r="D98" s="339"/>
      <c r="E98" s="339"/>
      <c r="F98" s="39"/>
      <c r="G98" s="39"/>
      <c r="H98" s="39"/>
      <c r="I98" s="39"/>
      <c r="J98" s="39"/>
      <c r="K98" s="23"/>
      <c r="L98" s="39"/>
      <c r="M98" s="23"/>
      <c r="N98" s="23"/>
      <c r="O98" s="23"/>
      <c r="P98" s="23"/>
      <c r="Q98" s="39"/>
      <c r="R98" s="23"/>
      <c r="S98" s="23"/>
      <c r="T98" s="23"/>
      <c r="U98" s="23"/>
      <c r="V98" s="23"/>
      <c r="W98" s="23"/>
      <c r="X98" s="23"/>
    </row>
    <row r="99" spans="1:24" x14ac:dyDescent="0.2">
      <c r="B99" s="34" t="s">
        <v>741</v>
      </c>
      <c r="C99" s="343"/>
      <c r="D99" s="344"/>
      <c r="E99" s="343" t="str">
        <f>IF(SUM(E25,E59,E97)&gt;0,SUM(E25,E59,E97),"")</f>
        <v/>
      </c>
      <c r="F99" s="38">
        <f>SUM(F7:F98)</f>
        <v>19</v>
      </c>
      <c r="G99" s="38"/>
      <c r="H99" s="38">
        <f>SUM(H7:H98)</f>
        <v>423974.78000000014</v>
      </c>
      <c r="I99" s="38">
        <f>SUM(I7:I98)</f>
        <v>3000</v>
      </c>
      <c r="J99" s="38">
        <f>SUM(J7:J98)</f>
        <v>0</v>
      </c>
      <c r="K99" s="38">
        <f>SUM(K7:K98)</f>
        <v>426974.78000000014</v>
      </c>
      <c r="M99" s="38">
        <f t="shared" ref="M99:X99" si="19">SUM(M7:M98)</f>
        <v>45512.967474000005</v>
      </c>
      <c r="N99" s="38">
        <f t="shared" si="19"/>
        <v>0</v>
      </c>
      <c r="O99" s="38">
        <f t="shared" si="19"/>
        <v>6973.1</v>
      </c>
      <c r="P99" s="38">
        <f t="shared" si="19"/>
        <v>6191.1343100000013</v>
      </c>
      <c r="Q99" s="38">
        <f t="shared" si="19"/>
        <v>9500</v>
      </c>
      <c r="R99" s="38">
        <f t="shared" si="19"/>
        <v>81000</v>
      </c>
      <c r="S99" s="38">
        <f t="shared" si="19"/>
        <v>8539.4956000000002</v>
      </c>
      <c r="T99" s="38">
        <f t="shared" si="19"/>
        <v>5123.6973600000001</v>
      </c>
      <c r="U99" s="38">
        <f t="shared" si="19"/>
        <v>0</v>
      </c>
      <c r="V99" s="38">
        <f t="shared" si="19"/>
        <v>0</v>
      </c>
      <c r="W99" s="38">
        <f t="shared" si="19"/>
        <v>153340.39474400008</v>
      </c>
      <c r="X99" s="38">
        <f t="shared" si="19"/>
        <v>580315.17474399996</v>
      </c>
    </row>
    <row r="101" spans="1:24" x14ac:dyDescent="0.2">
      <c r="B101" s="34" t="s">
        <v>745</v>
      </c>
      <c r="F101" s="38">
        <f>SUMIF($B:$B,1100,F:F)</f>
        <v>5</v>
      </c>
      <c r="G101" s="38"/>
      <c r="H101" s="38">
        <f>SUMIF($B:$B,1100,H:H)</f>
        <v>243807.18000000002</v>
      </c>
      <c r="I101" s="38">
        <f>SUMIF($B:$B,1100,I:I)</f>
        <v>1500</v>
      </c>
      <c r="J101" s="38">
        <f>SUMIF($B:$B,1100,J:J)</f>
        <v>0</v>
      </c>
      <c r="K101" s="38">
        <f>SUMIF($B:$B,1100,K:K)</f>
        <v>245307.18000000002</v>
      </c>
      <c r="M101" s="38">
        <f t="shared" ref="M101:X101" si="20">SUMIF($B:$B,1100,M:M)</f>
        <v>35397.826074000004</v>
      </c>
      <c r="N101" s="38">
        <f t="shared" si="20"/>
        <v>0</v>
      </c>
      <c r="O101" s="38">
        <f t="shared" si="20"/>
        <v>0</v>
      </c>
      <c r="P101" s="38">
        <f t="shared" si="20"/>
        <v>3556.9541100000001</v>
      </c>
      <c r="Q101" s="38">
        <f t="shared" si="20"/>
        <v>2500</v>
      </c>
      <c r="R101" s="38">
        <f t="shared" si="20"/>
        <v>62100</v>
      </c>
      <c r="S101" s="38">
        <f t="shared" si="20"/>
        <v>4906.1436000000003</v>
      </c>
      <c r="T101" s="38">
        <f t="shared" si="20"/>
        <v>2943.6861600000002</v>
      </c>
      <c r="U101" s="38">
        <f t="shared" si="20"/>
        <v>0</v>
      </c>
      <c r="V101" s="38">
        <f t="shared" si="20"/>
        <v>0</v>
      </c>
      <c r="W101" s="38">
        <f t="shared" si="20"/>
        <v>108904.60994400003</v>
      </c>
      <c r="X101" s="38">
        <f t="shared" si="20"/>
        <v>354211.78994400002</v>
      </c>
    </row>
  </sheetData>
  <pageMargins left="0.25" right="0.25" top="0.25" bottom="0.25" header="0.3" footer="0.3"/>
  <pageSetup scale="75" fitToWidth="2"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249977111117893"/>
    <pageSetUpPr fitToPage="1"/>
  </sheetPr>
  <dimension ref="A1:X173"/>
  <sheetViews>
    <sheetView workbookViewId="0">
      <pane xSplit="3" ySplit="6" topLeftCell="D7"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7.83203125" style="95" customWidth="1"/>
    <col min="19" max="19" width="10.33203125" style="1" bestFit="1" customWidth="1"/>
    <col min="20" max="24" width="11.5" style="1" customWidth="1"/>
    <col min="25"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20" ht="20" x14ac:dyDescent="0.2">
      <c r="A1" s="22" t="str">
        <f>'Student Info'!$A$1</f>
        <v>Three Rivers Charter School</v>
      </c>
      <c r="D1" s="181" t="s">
        <v>920</v>
      </c>
    </row>
    <row r="2" spans="1:20" ht="18" x14ac:dyDescent="0.2">
      <c r="A2" s="21" t="s">
        <v>804</v>
      </c>
      <c r="D2" s="181" t="s">
        <v>919</v>
      </c>
    </row>
    <row r="3" spans="1:20" ht="18" x14ac:dyDescent="0.2">
      <c r="A3" s="21" t="str">
        <f>'Cash Flow $s Yr3'!A3</f>
        <v>2017-18</v>
      </c>
    </row>
    <row r="5" spans="1:20" ht="18" x14ac:dyDescent="0.2">
      <c r="A5" s="29"/>
      <c r="B5" s="41"/>
      <c r="C5" s="29"/>
      <c r="D5" s="96"/>
      <c r="E5" s="96"/>
      <c r="F5" s="96"/>
      <c r="G5" s="96"/>
      <c r="H5" s="96"/>
      <c r="I5" s="96"/>
      <c r="J5" s="96"/>
      <c r="K5" s="96"/>
      <c r="L5" s="96"/>
      <c r="M5" s="96"/>
      <c r="N5" s="96"/>
      <c r="O5" s="96"/>
      <c r="P5" s="96"/>
      <c r="Q5" s="96"/>
      <c r="R5" s="96"/>
    </row>
    <row r="6" spans="1:20"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20" ht="18" x14ac:dyDescent="0.2">
      <c r="A7" s="47" t="s">
        <v>794</v>
      </c>
      <c r="B7" s="87"/>
      <c r="D7" s="31"/>
      <c r="F7" s="97"/>
      <c r="G7" s="97"/>
      <c r="H7" s="97"/>
      <c r="I7" s="31"/>
      <c r="J7" s="31"/>
      <c r="K7" s="97"/>
      <c r="L7" s="97"/>
      <c r="M7" s="97"/>
      <c r="N7" s="97"/>
      <c r="O7" s="97"/>
      <c r="P7" s="97"/>
      <c r="Q7" s="97"/>
      <c r="R7" s="97"/>
    </row>
    <row r="8" spans="1:20" ht="18" hidden="1" x14ac:dyDescent="0.2">
      <c r="A8" s="47"/>
      <c r="B8" s="87"/>
      <c r="C8" s="109" t="s">
        <v>817</v>
      </c>
      <c r="D8" s="110" t="s">
        <v>782</v>
      </c>
      <c r="F8" s="97"/>
      <c r="G8" s="97"/>
      <c r="H8" s="97"/>
      <c r="I8" s="31"/>
      <c r="J8" s="31"/>
      <c r="K8" s="97"/>
      <c r="L8" s="97"/>
      <c r="M8" s="97"/>
      <c r="N8" s="97"/>
      <c r="O8" s="97"/>
      <c r="P8" s="97"/>
      <c r="Q8" s="97"/>
      <c r="R8" s="97"/>
    </row>
    <row r="9" spans="1:20" ht="18" x14ac:dyDescent="0.2">
      <c r="A9" s="47"/>
      <c r="B9" s="87"/>
      <c r="C9" s="89" t="s">
        <v>818</v>
      </c>
      <c r="D9" s="115">
        <f>'Cash Flow %s Yr2'!D9</f>
        <v>0</v>
      </c>
      <c r="E9" s="115">
        <f>'Cash Flow %s Yr2'!E9</f>
        <v>0.05</v>
      </c>
      <c r="F9" s="115">
        <f>'Cash Flow %s Yr2'!F9</f>
        <v>0.05</v>
      </c>
      <c r="G9" s="115">
        <f>'Cash Flow %s Yr2'!G9</f>
        <v>0.09</v>
      </c>
      <c r="H9" s="115">
        <f>'Cash Flow %s Yr2'!H9</f>
        <v>0.09</v>
      </c>
      <c r="I9" s="115">
        <f>'Cash Flow %s Yr2'!I9</f>
        <v>0.09</v>
      </c>
      <c r="J9" s="115">
        <f>'Cash Flow %s Yr2'!J9</f>
        <v>0.09</v>
      </c>
      <c r="K9" s="115">
        <f>'Cash Flow %s Yr2'!K9</f>
        <v>0.09</v>
      </c>
      <c r="L9" s="115">
        <f>'Cash Flow %s Yr2'!L9</f>
        <v>0.09</v>
      </c>
      <c r="M9" s="221">
        <v>0.09</v>
      </c>
      <c r="N9" s="221">
        <v>0.09</v>
      </c>
      <c r="O9" s="115">
        <f>'Cash Flow %s Yr2'!O9</f>
        <v>0.09</v>
      </c>
      <c r="P9" s="115">
        <f>'Cash Flow %s Yr2'!P9</f>
        <v>0.09</v>
      </c>
      <c r="Q9" s="221">
        <v>1.9300000000000001E-2</v>
      </c>
      <c r="R9" s="115">
        <f>'Cash Flow %s Yr2'!R9</f>
        <v>0</v>
      </c>
      <c r="S9" s="111">
        <f>SUM(D9:R9)</f>
        <v>1.0192999999999999</v>
      </c>
      <c r="T9" s="1" t="str">
        <f>'Cash Flow %s Yr2'!T9</f>
        <v>estimate based on January 2013 Governor's budget</v>
      </c>
    </row>
    <row r="10" spans="1:20" ht="18" hidden="1" x14ac:dyDescent="0.2">
      <c r="A10" s="47"/>
      <c r="B10" s="87"/>
      <c r="C10" s="89" t="s">
        <v>819</v>
      </c>
      <c r="D10" s="115">
        <f>'Cash Flow %s Yr2'!D10</f>
        <v>0</v>
      </c>
      <c r="E10" s="115">
        <f>'Cash Flow %s Yr2'!E10</f>
        <v>0</v>
      </c>
      <c r="F10" s="115">
        <f>'Cash Flow %s Yr2'!F10</f>
        <v>0</v>
      </c>
      <c r="G10" s="115">
        <f>'Cash Flow %s Yr2'!G10</f>
        <v>0.3478</v>
      </c>
      <c r="H10" s="115">
        <f>'Cash Flow %s Yr2'!H10</f>
        <v>0</v>
      </c>
      <c r="I10" s="115">
        <f>'Cash Flow %s Yr2'!I10</f>
        <v>0</v>
      </c>
      <c r="J10" s="115">
        <f>'Cash Flow %s Yr2'!J10</f>
        <v>0.16919999999999999</v>
      </c>
      <c r="K10" s="115">
        <f>'Cash Flow %s Yr2'!K10</f>
        <v>0</v>
      </c>
      <c r="L10" s="115">
        <f>'Cash Flow %s Yr2'!L10</f>
        <v>0.09</v>
      </c>
      <c r="M10" s="115">
        <f>'Cash Flow %s Yr2'!M10</f>
        <v>0.09</v>
      </c>
      <c r="N10" s="115">
        <f>'Cash Flow %s Yr2'!N10</f>
        <v>0.09</v>
      </c>
      <c r="O10" s="115">
        <f>'Cash Flow %s Yr2'!O10</f>
        <v>0.09</v>
      </c>
      <c r="P10" s="115">
        <f>'Cash Flow %s Yr2'!P10</f>
        <v>0.06</v>
      </c>
      <c r="Q10" s="115">
        <f>'Cash Flow %s Yr2'!Q10</f>
        <v>0.03</v>
      </c>
      <c r="R10" s="115">
        <f>'Cash Flow %s Yr2'!R10</f>
        <v>0</v>
      </c>
      <c r="S10" s="111">
        <f>SUM(D10:R10)</f>
        <v>0.96699999999999986</v>
      </c>
      <c r="T10" s="1">
        <f>'Cash Flow %s Yr2'!T10</f>
        <v>0</v>
      </c>
    </row>
    <row r="11" spans="1:20" s="31" customFormat="1" ht="18" x14ac:dyDescent="0.2">
      <c r="B11" s="70" t="s">
        <v>779</v>
      </c>
      <c r="C11" s="49"/>
      <c r="D11" s="222"/>
      <c r="E11" s="222"/>
      <c r="F11" s="222"/>
      <c r="G11" s="222"/>
      <c r="H11" s="222"/>
      <c r="I11" s="222"/>
      <c r="J11" s="222"/>
      <c r="K11" s="222"/>
      <c r="L11" s="222"/>
      <c r="M11" s="222"/>
      <c r="N11" s="222"/>
      <c r="O11" s="222"/>
      <c r="P11" s="222"/>
      <c r="Q11" s="222"/>
      <c r="R11" s="222"/>
      <c r="S11" s="111"/>
    </row>
    <row r="12" spans="1:20" s="31" customFormat="1" x14ac:dyDescent="0.2">
      <c r="A12" s="50"/>
      <c r="B12" s="65" t="str">
        <f>'Revenue Input'!B8</f>
        <v>8011</v>
      </c>
      <c r="C12" s="65" t="str">
        <f>'Revenue Input'!C8</f>
        <v>LCFF for all grades; state aid portion</v>
      </c>
      <c r="D12" s="115">
        <f>D$9</f>
        <v>0</v>
      </c>
      <c r="E12" s="115">
        <f t="shared" ref="E12:R12" si="0">E$9</f>
        <v>0.05</v>
      </c>
      <c r="F12" s="115">
        <f t="shared" si="0"/>
        <v>0.05</v>
      </c>
      <c r="G12" s="115">
        <f t="shared" si="0"/>
        <v>0.09</v>
      </c>
      <c r="H12" s="115">
        <f t="shared" si="0"/>
        <v>0.09</v>
      </c>
      <c r="I12" s="115">
        <f t="shared" si="0"/>
        <v>0.09</v>
      </c>
      <c r="J12" s="115">
        <f t="shared" si="0"/>
        <v>0.09</v>
      </c>
      <c r="K12" s="115">
        <f t="shared" si="0"/>
        <v>0.09</v>
      </c>
      <c r="L12" s="115">
        <f t="shared" si="0"/>
        <v>0.09</v>
      </c>
      <c r="M12" s="115">
        <f t="shared" si="0"/>
        <v>0.09</v>
      </c>
      <c r="N12" s="115">
        <f t="shared" si="0"/>
        <v>0.09</v>
      </c>
      <c r="O12" s="115">
        <f t="shared" si="0"/>
        <v>0.09</v>
      </c>
      <c r="P12" s="115">
        <f t="shared" si="0"/>
        <v>0.09</v>
      </c>
      <c r="Q12" s="115">
        <f t="shared" si="0"/>
        <v>1.9300000000000001E-2</v>
      </c>
      <c r="R12" s="115">
        <f t="shared" si="0"/>
        <v>0</v>
      </c>
      <c r="S12" s="111">
        <f t="shared" ref="S12:S22" si="1">SUM(D12:R12)</f>
        <v>1.0192999999999999</v>
      </c>
    </row>
    <row r="13" spans="1:20" s="31" customFormat="1" x14ac:dyDescent="0.2">
      <c r="A13" s="50"/>
      <c r="B13" s="65" t="str">
        <f>'Revenue Input'!B9</f>
        <v>8012</v>
      </c>
      <c r="C13" s="65" t="str">
        <f>'Revenue Input'!C9</f>
        <v>LCFF for all grades; EPA portion</v>
      </c>
      <c r="D13" s="220">
        <v>0</v>
      </c>
      <c r="E13" s="220">
        <v>0</v>
      </c>
      <c r="F13" s="220">
        <v>0</v>
      </c>
      <c r="G13" s="220">
        <v>0.25</v>
      </c>
      <c r="H13" s="220">
        <v>0</v>
      </c>
      <c r="I13" s="220">
        <v>0</v>
      </c>
      <c r="J13" s="220">
        <v>0.25</v>
      </c>
      <c r="K13" s="220">
        <v>0</v>
      </c>
      <c r="L13" s="220">
        <v>0</v>
      </c>
      <c r="M13" s="220">
        <v>0.25</v>
      </c>
      <c r="N13" s="220">
        <v>0</v>
      </c>
      <c r="O13" s="220">
        <v>0</v>
      </c>
      <c r="P13" s="220">
        <v>0.25</v>
      </c>
      <c r="Q13" s="220">
        <v>0</v>
      </c>
      <c r="R13" s="220">
        <v>0</v>
      </c>
      <c r="S13" s="111">
        <f t="shared" si="1"/>
        <v>1</v>
      </c>
    </row>
    <row r="14" spans="1:20" s="31" customFormat="1" x14ac:dyDescent="0.2">
      <c r="A14" s="50"/>
      <c r="B14" s="65" t="str">
        <f>'Revenue Input'!B10</f>
        <v>8096</v>
      </c>
      <c r="C14" s="65" t="str">
        <f>'Revenue Input'!C10</f>
        <v>In-Lieu of Property Taxes, all grades</v>
      </c>
      <c r="D14" s="220">
        <v>0</v>
      </c>
      <c r="E14" s="220">
        <f>'Cash Flow %s Yr2'!E14</f>
        <v>0.12</v>
      </c>
      <c r="F14" s="220">
        <f>'Cash Flow %s Yr2'!F14</f>
        <v>0.08</v>
      </c>
      <c r="G14" s="220">
        <f>'Cash Flow %s Yr2'!G14</f>
        <v>0.08</v>
      </c>
      <c r="H14" s="220">
        <f>'Cash Flow %s Yr2'!H14</f>
        <v>0.08</v>
      </c>
      <c r="I14" s="220">
        <f>'Cash Flow %s Yr2'!I14</f>
        <v>0.08</v>
      </c>
      <c r="J14" s="220">
        <f>'Cash Flow %s Yr2'!J14</f>
        <v>0.08</v>
      </c>
      <c r="K14" s="220">
        <f>'Cash Flow %s Yr2'!K14</f>
        <v>0.14000000000000001</v>
      </c>
      <c r="L14" s="220">
        <f>'Cash Flow %s Yr2'!L14</f>
        <v>7.0000000000000007E-2</v>
      </c>
      <c r="M14" s="220">
        <f>'Cash Flow %s Yr2'!M14</f>
        <v>7.0000000000000007E-2</v>
      </c>
      <c r="N14" s="220">
        <f>'Cash Flow %s Yr2'!N14</f>
        <v>7.0000000000000007E-2</v>
      </c>
      <c r="O14" s="220">
        <f>'Cash Flow %s Yr2'!O14</f>
        <v>7.0000000000000007E-2</v>
      </c>
      <c r="P14" s="220">
        <f>'Cash Flow %s Yr2'!P14</f>
        <v>0</v>
      </c>
      <c r="Q14" s="220">
        <v>0</v>
      </c>
      <c r="R14" s="220">
        <v>0</v>
      </c>
      <c r="S14" s="111">
        <f t="shared" si="1"/>
        <v>0.94000000000000017</v>
      </c>
    </row>
    <row r="15" spans="1:20" s="31" customFormat="1" x14ac:dyDescent="0.2">
      <c r="A15" s="50"/>
      <c r="B15" s="65" t="str">
        <f>'Revenue Input'!B11</f>
        <v>8599</v>
      </c>
      <c r="C15" s="65" t="str">
        <f>'Revenue Input'!C11</f>
        <v>Prior Year Income / Adjustments</v>
      </c>
      <c r="D15" s="115">
        <f>'Cash Flow %s Yr2'!D15</f>
        <v>0.66666666666666663</v>
      </c>
      <c r="E15" s="115">
        <f>'Cash Flow %s Yr2'!E15</f>
        <v>0.33333333333333331</v>
      </c>
      <c r="F15" s="115">
        <f>'Cash Flow %s Yr2'!F15</f>
        <v>0</v>
      </c>
      <c r="G15" s="115">
        <f>'Cash Flow %s Yr2'!G15</f>
        <v>0</v>
      </c>
      <c r="H15" s="115">
        <f>'Cash Flow %s Yr2'!H15</f>
        <v>0</v>
      </c>
      <c r="I15" s="115">
        <f>'Cash Flow %s Yr2'!I15</f>
        <v>0</v>
      </c>
      <c r="J15" s="115">
        <f>'Cash Flow %s Yr2'!J15</f>
        <v>0</v>
      </c>
      <c r="K15" s="115">
        <f>'Cash Flow %s Yr2'!K15</f>
        <v>0</v>
      </c>
      <c r="L15" s="115">
        <f>'Cash Flow %s Yr2'!L15</f>
        <v>0</v>
      </c>
      <c r="M15" s="115">
        <f>'Cash Flow %s Yr2'!M15</f>
        <v>0</v>
      </c>
      <c r="N15" s="115">
        <f>'Cash Flow %s Yr2'!N15</f>
        <v>0</v>
      </c>
      <c r="O15" s="115">
        <f>'Cash Flow %s Yr2'!O15</f>
        <v>0</v>
      </c>
      <c r="P15" s="115">
        <f>'Cash Flow %s Yr2'!P15</f>
        <v>0</v>
      </c>
      <c r="Q15" s="115">
        <f>'Cash Flow %s Yr2'!Q15</f>
        <v>0</v>
      </c>
      <c r="R15" s="115">
        <f>'Cash Flow %s Yr2'!R15</f>
        <v>0</v>
      </c>
      <c r="S15" s="111">
        <f t="shared" si="1"/>
        <v>1</v>
      </c>
    </row>
    <row r="16" spans="1:20" s="31" customFormat="1" x14ac:dyDescent="0.2">
      <c r="A16" s="50"/>
      <c r="B16" s="65" t="str">
        <f>'Revenue Input'!B12</f>
        <v>8181</v>
      </c>
      <c r="C16" s="65" t="str">
        <f>'Revenue Input'!C12</f>
        <v>Special Education</v>
      </c>
      <c r="D16" s="115">
        <f>'Cash Flow %s Yr2'!D16</f>
        <v>0</v>
      </c>
      <c r="E16" s="115">
        <f>'Cash Flow %s Yr2'!E16</f>
        <v>0.05</v>
      </c>
      <c r="F16" s="115">
        <f>'Cash Flow %s Yr2'!F16</f>
        <v>0.05</v>
      </c>
      <c r="G16" s="115">
        <f>'Cash Flow %s Yr2'!G16</f>
        <v>0.09</v>
      </c>
      <c r="H16" s="115">
        <f>'Cash Flow %s Yr2'!H16</f>
        <v>0.09</v>
      </c>
      <c r="I16" s="115">
        <f>'Cash Flow %s Yr2'!I16</f>
        <v>0.09</v>
      </c>
      <c r="J16" s="115">
        <f>'Cash Flow %s Yr2'!J16</f>
        <v>0.09</v>
      </c>
      <c r="K16" s="115">
        <f>'Cash Flow %s Yr2'!K16</f>
        <v>0.09</v>
      </c>
      <c r="L16" s="115">
        <f>'Cash Flow %s Yr2'!L16</f>
        <v>0.09</v>
      </c>
      <c r="M16" s="115">
        <f>'Cash Flow %s Yr2'!M16</f>
        <v>0.09</v>
      </c>
      <c r="N16" s="115">
        <f>'Cash Flow %s Yr2'!N16</f>
        <v>0.09</v>
      </c>
      <c r="O16" s="115">
        <f>'Cash Flow %s Yr2'!O16</f>
        <v>0.09</v>
      </c>
      <c r="P16" s="115">
        <f>'Cash Flow %s Yr2'!P16</f>
        <v>0.06</v>
      </c>
      <c r="Q16" s="115">
        <f>'Cash Flow %s Yr2'!Q16</f>
        <v>0.03</v>
      </c>
      <c r="R16" s="115">
        <f>'Cash Flow %s Yr2'!R16</f>
        <v>0</v>
      </c>
      <c r="S16" s="111">
        <f t="shared" si="1"/>
        <v>0.99999999999999978</v>
      </c>
    </row>
    <row r="17" spans="1:20" s="31" customFormat="1" x14ac:dyDescent="0.2">
      <c r="A17" s="50"/>
      <c r="B17" s="65" t="str">
        <f>'Revenue Input'!B13</f>
        <v>8560</v>
      </c>
      <c r="C17" s="65" t="str">
        <f>'Revenue Input'!C13</f>
        <v>Lottery</v>
      </c>
      <c r="D17" s="115">
        <f>'Cash Flow %s Yr2'!D17</f>
        <v>0</v>
      </c>
      <c r="E17" s="115">
        <f>'Cash Flow %s Yr2'!E17</f>
        <v>0</v>
      </c>
      <c r="F17" s="115">
        <f>'Cash Flow %s Yr2'!F17</f>
        <v>0</v>
      </c>
      <c r="G17" s="115">
        <f>'Cash Flow %s Yr2'!G17</f>
        <v>0</v>
      </c>
      <c r="H17" s="115">
        <f>'Cash Flow %s Yr2'!H17</f>
        <v>0</v>
      </c>
      <c r="I17" s="115">
        <f>'Cash Flow %s Yr2'!I17</f>
        <v>0.25</v>
      </c>
      <c r="J17" s="115">
        <f>'Cash Flow %s Yr2'!J17</f>
        <v>0</v>
      </c>
      <c r="K17" s="115">
        <f>'Cash Flow %s Yr2'!K17</f>
        <v>0.25</v>
      </c>
      <c r="L17" s="115">
        <f>'Cash Flow %s Yr2'!L17</f>
        <v>0</v>
      </c>
      <c r="M17" s="115">
        <f>'Cash Flow %s Yr2'!M17</f>
        <v>0.25</v>
      </c>
      <c r="N17" s="115">
        <f>'Cash Flow %s Yr2'!N17</f>
        <v>0</v>
      </c>
      <c r="O17" s="115">
        <f>'Cash Flow %s Yr2'!O17</f>
        <v>0</v>
      </c>
      <c r="P17" s="115">
        <f>'Cash Flow %s Yr2'!P17</f>
        <v>0.25</v>
      </c>
      <c r="Q17" s="115">
        <f>'Cash Flow %s Yr2'!Q17</f>
        <v>0</v>
      </c>
      <c r="R17" s="115">
        <f>'Cash Flow %s Yr2'!R17</f>
        <v>0</v>
      </c>
      <c r="S17" s="111">
        <f t="shared" si="1"/>
        <v>1</v>
      </c>
      <c r="T17" s="1">
        <f>'Cash Flow %s Yr2'!T17</f>
        <v>0</v>
      </c>
    </row>
    <row r="18" spans="1:20" s="31" customFormat="1" x14ac:dyDescent="0.2">
      <c r="A18" s="49"/>
      <c r="B18" s="65" t="str">
        <f>'Revenue Input'!B14</f>
        <v>8520</v>
      </c>
      <c r="C18" s="65" t="str">
        <f>'Revenue Input'!C14</f>
        <v>State Child Nutrition program</v>
      </c>
      <c r="D18" s="115">
        <f>'Cash Flow %s Yr2'!D18</f>
        <v>0</v>
      </c>
      <c r="E18" s="115">
        <f>'Cash Flow %s Yr2'!E18</f>
        <v>0</v>
      </c>
      <c r="F18" s="115">
        <f>'Cash Flow %s Yr2'!F18</f>
        <v>0</v>
      </c>
      <c r="G18" s="115">
        <f>'Cash Flow %s Yr2'!G18</f>
        <v>0</v>
      </c>
      <c r="H18" s="115">
        <f>'Cash Flow %s Yr2'!H18</f>
        <v>0.1</v>
      </c>
      <c r="I18" s="115">
        <f>'Cash Flow %s Yr2'!I18</f>
        <v>0.1</v>
      </c>
      <c r="J18" s="115">
        <f>'Cash Flow %s Yr2'!J18</f>
        <v>0.1</v>
      </c>
      <c r="K18" s="115">
        <f>'Cash Flow %s Yr2'!K18</f>
        <v>0.1</v>
      </c>
      <c r="L18" s="115">
        <f>'Cash Flow %s Yr2'!L18</f>
        <v>0.1</v>
      </c>
      <c r="M18" s="115">
        <f>'Cash Flow %s Yr2'!M18</f>
        <v>0.1</v>
      </c>
      <c r="N18" s="115">
        <f>'Cash Flow %s Yr2'!N18</f>
        <v>0.1</v>
      </c>
      <c r="O18" s="115">
        <f>'Cash Flow %s Yr2'!O18</f>
        <v>0.1</v>
      </c>
      <c r="P18" s="115">
        <f>'Cash Flow %s Yr2'!P18</f>
        <v>0.1</v>
      </c>
      <c r="Q18" s="115">
        <f>'Cash Flow %s Yr2'!Q18</f>
        <v>0.1</v>
      </c>
      <c r="R18" s="115">
        <f>'Cash Flow %s Yr2'!R18</f>
        <v>0</v>
      </c>
      <c r="S18" s="111">
        <f t="shared" si="1"/>
        <v>0.99999999999999989</v>
      </c>
    </row>
    <row r="19" spans="1:20" s="31" customFormat="1" x14ac:dyDescent="0.2">
      <c r="A19" s="50"/>
      <c r="B19" s="65" t="str">
        <f>'Revenue Input'!B15</f>
        <v>8591</v>
      </c>
      <c r="C19" s="65" t="str">
        <f>'Revenue Input'!C15</f>
        <v>SB 740 Rent re-imbursement program</v>
      </c>
      <c r="D19" s="115">
        <f>'Cash Flow %s Yr2'!D19</f>
        <v>0</v>
      </c>
      <c r="E19" s="115">
        <f>'Cash Flow %s Yr2'!E19</f>
        <v>0</v>
      </c>
      <c r="F19" s="115">
        <f>'Cash Flow %s Yr2'!F19</f>
        <v>0</v>
      </c>
      <c r="G19" s="115">
        <f>'Cash Flow %s Yr2'!G19</f>
        <v>0</v>
      </c>
      <c r="H19" s="115">
        <f>'Cash Flow %s Yr2'!H19</f>
        <v>0.25</v>
      </c>
      <c r="I19" s="115">
        <f>'Cash Flow %s Yr2'!I19</f>
        <v>0</v>
      </c>
      <c r="J19" s="115">
        <f>'Cash Flow %s Yr2'!J19</f>
        <v>0</v>
      </c>
      <c r="K19" s="115">
        <f>'Cash Flow %s Yr2'!K19</f>
        <v>0.25</v>
      </c>
      <c r="L19" s="115">
        <f>'Cash Flow %s Yr2'!L19</f>
        <v>0</v>
      </c>
      <c r="M19" s="115">
        <f>'Cash Flow %s Yr2'!M19</f>
        <v>0</v>
      </c>
      <c r="N19" s="115">
        <f>'Cash Flow %s Yr2'!N19</f>
        <v>0.25</v>
      </c>
      <c r="O19" s="115">
        <f>'Cash Flow %s Yr2'!O19</f>
        <v>0</v>
      </c>
      <c r="P19" s="115">
        <f>'Cash Flow %s Yr2'!P19</f>
        <v>0</v>
      </c>
      <c r="Q19" s="115">
        <f>'Cash Flow %s Yr2'!Q19</f>
        <v>0.25</v>
      </c>
      <c r="R19" s="115">
        <f>'Cash Flow %s Yr2'!R19</f>
        <v>0</v>
      </c>
      <c r="S19" s="111">
        <f t="shared" si="1"/>
        <v>1</v>
      </c>
    </row>
    <row r="20" spans="1:20" s="31" customFormat="1" ht="18" x14ac:dyDescent="0.2">
      <c r="A20" s="47"/>
      <c r="B20" s="65" t="str">
        <f>'Revenue Input'!B16</f>
        <v>8590</v>
      </c>
      <c r="C20" s="65" t="str">
        <f>'Revenue Input'!C16</f>
        <v>Educator Effectiveness</v>
      </c>
      <c r="D20" s="115">
        <f>'Cash Flow %s Yr2'!D20</f>
        <v>0</v>
      </c>
      <c r="E20" s="115">
        <f>'Cash Flow %s Yr2'!E20</f>
        <v>0</v>
      </c>
      <c r="F20" s="115">
        <f>'Cash Flow %s Yr2'!F20</f>
        <v>0</v>
      </c>
      <c r="G20" s="115">
        <f>'Cash Flow %s Yr2'!G20</f>
        <v>0</v>
      </c>
      <c r="H20" s="115">
        <f>'Cash Flow %s Yr2'!H20</f>
        <v>0</v>
      </c>
      <c r="I20" s="115">
        <f>'Cash Flow %s Yr2'!I20</f>
        <v>0.8</v>
      </c>
      <c r="J20" s="115">
        <f>'Cash Flow %s Yr2'!J20</f>
        <v>0</v>
      </c>
      <c r="K20" s="115">
        <f>'Cash Flow %s Yr2'!K20</f>
        <v>0</v>
      </c>
      <c r="L20" s="115">
        <f>'Cash Flow %s Yr2'!L20</f>
        <v>0.2</v>
      </c>
      <c r="M20" s="115">
        <f>'Cash Flow %s Yr2'!M20</f>
        <v>0</v>
      </c>
      <c r="N20" s="115">
        <f>'Cash Flow %s Yr2'!N20</f>
        <v>0</v>
      </c>
      <c r="O20" s="115">
        <f>'Cash Flow %s Yr2'!O20</f>
        <v>0</v>
      </c>
      <c r="P20" s="115">
        <f>'Cash Flow %s Yr2'!P20</f>
        <v>0</v>
      </c>
      <c r="Q20" s="115">
        <f>'Cash Flow %s Yr2'!Q20</f>
        <v>0</v>
      </c>
      <c r="R20" s="115">
        <f>'Cash Flow %s Yr2'!R20</f>
        <v>0</v>
      </c>
      <c r="S20" s="111">
        <f t="shared" si="1"/>
        <v>1</v>
      </c>
    </row>
    <row r="21" spans="1:20" s="31" customFormat="1" ht="18" x14ac:dyDescent="0.2">
      <c r="A21" s="47"/>
      <c r="B21" s="65" t="str">
        <f>'Revenue Input'!B17</f>
        <v>8550</v>
      </c>
      <c r="C21" s="65" t="str">
        <f>'Revenue Input'!C17</f>
        <v>Mandate Block Grant</v>
      </c>
      <c r="D21" s="115">
        <f>'Cash Flow %s Yr2'!D21</f>
        <v>0</v>
      </c>
      <c r="E21" s="115">
        <f>'Cash Flow %s Yr2'!E21</f>
        <v>0</v>
      </c>
      <c r="F21" s="115">
        <f>'Cash Flow %s Yr2'!F21</f>
        <v>0.5</v>
      </c>
      <c r="G21" s="115">
        <f>'Cash Flow %s Yr2'!G21</f>
        <v>0</v>
      </c>
      <c r="H21" s="115">
        <f>'Cash Flow %s Yr2'!H21</f>
        <v>0</v>
      </c>
      <c r="I21" s="115">
        <f>'Cash Flow %s Yr2'!I21</f>
        <v>0</v>
      </c>
      <c r="J21" s="115">
        <f>'Cash Flow %s Yr2'!J21</f>
        <v>0.5</v>
      </c>
      <c r="K21" s="115">
        <f>'Cash Flow %s Yr2'!K21</f>
        <v>0</v>
      </c>
      <c r="L21" s="115">
        <f>'Cash Flow %s Yr2'!L21</f>
        <v>0</v>
      </c>
      <c r="M21" s="115">
        <f>'Cash Flow %s Yr2'!M21</f>
        <v>0</v>
      </c>
      <c r="N21" s="115">
        <f>'Cash Flow %s Yr2'!N21</f>
        <v>0</v>
      </c>
      <c r="O21" s="115">
        <f>'Cash Flow %s Yr2'!O21</f>
        <v>0</v>
      </c>
      <c r="P21" s="115">
        <f>'Cash Flow %s Yr2'!P21</f>
        <v>0</v>
      </c>
      <c r="Q21" s="115">
        <f>'Cash Flow %s Yr2'!Q21</f>
        <v>0</v>
      </c>
      <c r="R21" s="115">
        <f>'Cash Flow %s Yr2'!R21</f>
        <v>0</v>
      </c>
      <c r="S21" s="111">
        <f>SUM(D21:R21)</f>
        <v>1</v>
      </c>
    </row>
    <row r="22" spans="1:20" s="31" customFormat="1" ht="18" x14ac:dyDescent="0.2">
      <c r="A22" s="47"/>
      <c r="B22" s="65" t="str">
        <f>'Revenue Input'!B18</f>
        <v>8550</v>
      </c>
      <c r="C22" s="65" t="str">
        <f>'Revenue Input'!C18</f>
        <v>One Time Block Grant</v>
      </c>
      <c r="D22" s="115">
        <f>'Cash Flow %s Yr2'!D22</f>
        <v>0</v>
      </c>
      <c r="E22" s="115">
        <f>'Cash Flow %s Yr2'!E22</f>
        <v>0</v>
      </c>
      <c r="F22" s="115">
        <f>'Cash Flow %s Yr2'!F22</f>
        <v>0</v>
      </c>
      <c r="G22" s="115">
        <f>'Cash Flow %s Yr2'!G22</f>
        <v>0</v>
      </c>
      <c r="H22" s="115">
        <f>'Cash Flow %s Yr2'!H22</f>
        <v>0</v>
      </c>
      <c r="I22" s="115">
        <f>'Cash Flow %s Yr2'!I22</f>
        <v>0.8</v>
      </c>
      <c r="J22" s="115">
        <f>'Cash Flow %s Yr2'!J22</f>
        <v>0</v>
      </c>
      <c r="K22" s="115">
        <f>'Cash Flow %s Yr2'!K22</f>
        <v>0</v>
      </c>
      <c r="L22" s="115">
        <f>'Cash Flow %s Yr2'!L22</f>
        <v>0.2</v>
      </c>
      <c r="M22" s="115">
        <f>'Cash Flow %s Yr2'!M22</f>
        <v>0</v>
      </c>
      <c r="N22" s="115">
        <f>'Cash Flow %s Yr2'!N22</f>
        <v>0</v>
      </c>
      <c r="O22" s="115">
        <f>'Cash Flow %s Yr2'!O22</f>
        <v>0</v>
      </c>
      <c r="P22" s="115">
        <f>'Cash Flow %s Yr2'!P22</f>
        <v>0</v>
      </c>
      <c r="Q22" s="115">
        <f>'Cash Flow %s Yr2'!Q22</f>
        <v>0</v>
      </c>
      <c r="R22" s="115">
        <f>'Cash Flow %s Yr2'!R22</f>
        <v>0</v>
      </c>
      <c r="S22" s="111">
        <f t="shared" si="1"/>
        <v>1</v>
      </c>
    </row>
    <row r="23" spans="1:20" s="31" customFormat="1" ht="18" x14ac:dyDescent="0.2">
      <c r="A23" s="47"/>
      <c r="B23" s="72"/>
      <c r="C23" s="50"/>
      <c r="D23" s="120"/>
      <c r="E23" s="120"/>
      <c r="F23" s="120"/>
      <c r="G23" s="120"/>
      <c r="H23" s="120"/>
      <c r="I23" s="120"/>
      <c r="J23" s="120"/>
      <c r="K23" s="120"/>
      <c r="L23" s="120"/>
      <c r="M23" s="120"/>
      <c r="N23" s="120"/>
      <c r="O23" s="120"/>
      <c r="P23" s="120"/>
      <c r="Q23" s="120"/>
      <c r="R23" s="121"/>
      <c r="S23" s="111"/>
    </row>
    <row r="24" spans="1:20" s="31" customFormat="1" ht="18" x14ac:dyDescent="0.2">
      <c r="A24" s="47"/>
      <c r="B24" s="72"/>
      <c r="C24" s="50"/>
      <c r="D24" s="119"/>
      <c r="E24" s="119"/>
      <c r="F24" s="119"/>
      <c r="G24" s="119"/>
      <c r="H24" s="119"/>
      <c r="I24" s="119"/>
      <c r="J24" s="119"/>
      <c r="K24" s="119"/>
      <c r="L24" s="119"/>
      <c r="M24" s="119"/>
      <c r="N24" s="119"/>
      <c r="O24" s="119"/>
      <c r="P24" s="119"/>
      <c r="Q24" s="119"/>
      <c r="R24" s="119"/>
      <c r="S24" s="111"/>
    </row>
    <row r="25" spans="1:20" s="31" customFormat="1" ht="18" x14ac:dyDescent="0.2">
      <c r="B25" s="47" t="s">
        <v>785</v>
      </c>
      <c r="C25" s="50"/>
      <c r="D25" s="119"/>
      <c r="E25" s="119"/>
      <c r="F25" s="119"/>
      <c r="G25" s="119"/>
      <c r="H25" s="119"/>
      <c r="I25" s="119"/>
      <c r="J25" s="119"/>
      <c r="K25" s="119"/>
      <c r="L25" s="119"/>
      <c r="M25" s="119"/>
      <c r="N25" s="119"/>
      <c r="O25" s="119"/>
      <c r="P25" s="119"/>
      <c r="Q25" s="119"/>
      <c r="R25" s="119"/>
      <c r="S25" s="111"/>
    </row>
    <row r="26" spans="1:20" s="31" customFormat="1" ht="18" x14ac:dyDescent="0.2">
      <c r="A26" s="47"/>
      <c r="B26" s="65" t="str">
        <f>'Revenue Input'!B22</f>
        <v>8220</v>
      </c>
      <c r="C26" s="65" t="str">
        <f>'Revenue Input'!C22</f>
        <v>Federal Child Nutrition Programs</v>
      </c>
      <c r="D26" s="115">
        <f>'Cash Flow %s Yr2'!D26</f>
        <v>0</v>
      </c>
      <c r="E26" s="115">
        <f>'Cash Flow %s Yr2'!E26</f>
        <v>0</v>
      </c>
      <c r="F26" s="115">
        <f>'Cash Flow %s Yr2'!F26</f>
        <v>0</v>
      </c>
      <c r="G26" s="115">
        <f>'Cash Flow %s Yr2'!G26</f>
        <v>0</v>
      </c>
      <c r="H26" s="115">
        <f>'Cash Flow %s Yr2'!H26</f>
        <v>0.1</v>
      </c>
      <c r="I26" s="115">
        <f>'Cash Flow %s Yr2'!I26</f>
        <v>0.1</v>
      </c>
      <c r="J26" s="115">
        <f>'Cash Flow %s Yr2'!J26</f>
        <v>0.1</v>
      </c>
      <c r="K26" s="115">
        <f>'Cash Flow %s Yr2'!K26</f>
        <v>0.1</v>
      </c>
      <c r="L26" s="115">
        <f>'Cash Flow %s Yr2'!L26</f>
        <v>0.1</v>
      </c>
      <c r="M26" s="115">
        <f>'Cash Flow %s Yr2'!M26</f>
        <v>0.1</v>
      </c>
      <c r="N26" s="115">
        <f>'Cash Flow %s Yr2'!N26</f>
        <v>0.1</v>
      </c>
      <c r="O26" s="115">
        <f>'Cash Flow %s Yr2'!O26</f>
        <v>0.1</v>
      </c>
      <c r="P26" s="115">
        <f>'Cash Flow %s Yr2'!P26</f>
        <v>0.1</v>
      </c>
      <c r="Q26" s="115">
        <f>'Cash Flow %s Yr2'!Q26</f>
        <v>0.1</v>
      </c>
      <c r="R26" s="115">
        <f>'Cash Flow %s Yr2'!R26</f>
        <v>0</v>
      </c>
      <c r="S26" s="111">
        <f t="shared" ref="S26:S33" si="2">SUM(D26:R26)</f>
        <v>0.99999999999999989</v>
      </c>
    </row>
    <row r="27" spans="1:20" s="31" customFormat="1" ht="18" x14ac:dyDescent="0.2">
      <c r="A27" s="47"/>
      <c r="B27" s="65" t="str">
        <f>'Revenue Input'!B23</f>
        <v>8290</v>
      </c>
      <c r="C27" s="65" t="str">
        <f>'Revenue Input'!C23</f>
        <v>All Other Federal Revenue, inc Facilities Incentive Grants program</v>
      </c>
      <c r="D27" s="115">
        <f>'Cash Flow %s Yr2'!D27</f>
        <v>0</v>
      </c>
      <c r="E27" s="115">
        <f>'Cash Flow %s Yr2'!E27</f>
        <v>0</v>
      </c>
      <c r="F27" s="115">
        <f>'Cash Flow %s Yr2'!F27</f>
        <v>0</v>
      </c>
      <c r="G27" s="115">
        <f>'Cash Flow %s Yr2'!G27</f>
        <v>0</v>
      </c>
      <c r="H27" s="115">
        <f>'Cash Flow %s Yr2'!H27</f>
        <v>0</v>
      </c>
      <c r="I27" s="115">
        <f>'Cash Flow %s Yr2'!I27</f>
        <v>0</v>
      </c>
      <c r="J27" s="115">
        <f>'Cash Flow %s Yr2'!J27</f>
        <v>0.25</v>
      </c>
      <c r="K27" s="115">
        <f>'Cash Flow %s Yr2'!K27</f>
        <v>0</v>
      </c>
      <c r="L27" s="115">
        <f>'Cash Flow %s Yr2'!L27</f>
        <v>0</v>
      </c>
      <c r="M27" s="115">
        <f>'Cash Flow %s Yr2'!M27</f>
        <v>0.5</v>
      </c>
      <c r="N27" s="115">
        <f>'Cash Flow %s Yr2'!N27</f>
        <v>0</v>
      </c>
      <c r="O27" s="115">
        <f>'Cash Flow %s Yr2'!O27</f>
        <v>0.25</v>
      </c>
      <c r="P27" s="115">
        <f>'Cash Flow %s Yr2'!P27</f>
        <v>0</v>
      </c>
      <c r="Q27" s="115">
        <f>'Cash Flow %s Yr2'!Q27</f>
        <v>0</v>
      </c>
      <c r="R27" s="115">
        <f>'Cash Flow %s Yr2'!R27</f>
        <v>0</v>
      </c>
      <c r="S27" s="111">
        <f t="shared" si="2"/>
        <v>1</v>
      </c>
    </row>
    <row r="28" spans="1:20" s="31" customFormat="1" ht="18" x14ac:dyDescent="0.2">
      <c r="A28" s="47"/>
      <c r="B28" s="65" t="str">
        <f>'Revenue Input'!B24</f>
        <v>8291</v>
      </c>
      <c r="C28" s="65" t="str">
        <f>'Revenue Input'!C24</f>
        <v>Title I</v>
      </c>
      <c r="D28" s="115">
        <f>'Cash Flow %s Yr2'!D28</f>
        <v>0</v>
      </c>
      <c r="E28" s="115">
        <f>'Cash Flow %s Yr2'!E28</f>
        <v>0</v>
      </c>
      <c r="F28" s="115">
        <f>'Cash Flow %s Yr2'!F28</f>
        <v>0</v>
      </c>
      <c r="G28" s="115">
        <f>'Cash Flow %s Yr2'!G28</f>
        <v>0</v>
      </c>
      <c r="H28" s="115">
        <f>'Cash Flow %s Yr2'!H28</f>
        <v>0</v>
      </c>
      <c r="I28" s="115">
        <f>'Cash Flow %s Yr2'!I28</f>
        <v>0</v>
      </c>
      <c r="J28" s="115">
        <f>'Cash Flow %s Yr2'!J28</f>
        <v>0.25</v>
      </c>
      <c r="K28" s="115">
        <f>'Cash Flow %s Yr2'!K28</f>
        <v>0</v>
      </c>
      <c r="L28" s="115">
        <f>'Cash Flow %s Yr2'!L28</f>
        <v>0</v>
      </c>
      <c r="M28" s="115">
        <f>'Cash Flow %s Yr2'!M28</f>
        <v>0.5</v>
      </c>
      <c r="N28" s="115">
        <f>'Cash Flow %s Yr2'!N28</f>
        <v>0</v>
      </c>
      <c r="O28" s="115">
        <f>'Cash Flow %s Yr2'!O28</f>
        <v>0.25</v>
      </c>
      <c r="P28" s="115">
        <f>'Cash Flow %s Yr2'!P28</f>
        <v>0</v>
      </c>
      <c r="Q28" s="115">
        <f>'Cash Flow %s Yr2'!Q28</f>
        <v>0</v>
      </c>
      <c r="R28" s="115">
        <f>'Cash Flow %s Yr2'!R28</f>
        <v>0</v>
      </c>
      <c r="S28" s="111">
        <f t="shared" si="2"/>
        <v>1</v>
      </c>
    </row>
    <row r="29" spans="1:20" s="31" customFormat="1" ht="18" x14ac:dyDescent="0.2">
      <c r="A29" s="47"/>
      <c r="B29" s="65" t="str">
        <f>'Revenue Input'!B25</f>
        <v>8292</v>
      </c>
      <c r="C29" s="65" t="str">
        <f>'Revenue Input'!C25</f>
        <v>Title II</v>
      </c>
      <c r="D29" s="115">
        <f>'Cash Flow %s Yr2'!D29</f>
        <v>0</v>
      </c>
      <c r="E29" s="115">
        <f>'Cash Flow %s Yr2'!E29</f>
        <v>0</v>
      </c>
      <c r="F29" s="115">
        <f>'Cash Flow %s Yr2'!F29</f>
        <v>0</v>
      </c>
      <c r="G29" s="115">
        <f>'Cash Flow %s Yr2'!G29</f>
        <v>0</v>
      </c>
      <c r="H29" s="115">
        <f>'Cash Flow %s Yr2'!H29</f>
        <v>0</v>
      </c>
      <c r="I29" s="115">
        <f>'Cash Flow %s Yr2'!I29</f>
        <v>0</v>
      </c>
      <c r="J29" s="115">
        <f>'Cash Flow %s Yr2'!J29</f>
        <v>0.25</v>
      </c>
      <c r="K29" s="115">
        <f>'Cash Flow %s Yr2'!K29</f>
        <v>0</v>
      </c>
      <c r="L29" s="115">
        <f>'Cash Flow %s Yr2'!L29</f>
        <v>0</v>
      </c>
      <c r="M29" s="115">
        <f>'Cash Flow %s Yr2'!M29</f>
        <v>0.5</v>
      </c>
      <c r="N29" s="115">
        <f>'Cash Flow %s Yr2'!N29</f>
        <v>0</v>
      </c>
      <c r="O29" s="115">
        <f>'Cash Flow %s Yr2'!O29</f>
        <v>0.25</v>
      </c>
      <c r="P29" s="115">
        <f>'Cash Flow %s Yr2'!P29</f>
        <v>0</v>
      </c>
      <c r="Q29" s="115">
        <f>'Cash Flow %s Yr2'!Q29</f>
        <v>0</v>
      </c>
      <c r="R29" s="115">
        <f>'Cash Flow %s Yr2'!R29</f>
        <v>0</v>
      </c>
      <c r="S29" s="111">
        <f t="shared" si="2"/>
        <v>1</v>
      </c>
    </row>
    <row r="30" spans="1:20" s="31" customFormat="1" ht="18" x14ac:dyDescent="0.2">
      <c r="A30" s="47"/>
      <c r="B30" s="65" t="str">
        <f>'Revenue Input'!B26</f>
        <v>8293</v>
      </c>
      <c r="C30" s="65" t="str">
        <f>'Revenue Input'!C26</f>
        <v>Title III</v>
      </c>
      <c r="D30" s="115">
        <f>'Cash Flow %s Yr2'!D30</f>
        <v>0</v>
      </c>
      <c r="E30" s="115">
        <f>'Cash Flow %s Yr2'!E30</f>
        <v>0</v>
      </c>
      <c r="F30" s="115">
        <f>'Cash Flow %s Yr2'!F30</f>
        <v>0</v>
      </c>
      <c r="G30" s="115">
        <f>'Cash Flow %s Yr2'!G30</f>
        <v>0</v>
      </c>
      <c r="H30" s="115">
        <f>'Cash Flow %s Yr2'!H30</f>
        <v>0</v>
      </c>
      <c r="I30" s="115">
        <f>'Cash Flow %s Yr2'!I30</f>
        <v>0</v>
      </c>
      <c r="J30" s="115">
        <f>'Cash Flow %s Yr2'!J30</f>
        <v>0.25</v>
      </c>
      <c r="K30" s="115">
        <f>'Cash Flow %s Yr2'!K30</f>
        <v>0</v>
      </c>
      <c r="L30" s="115">
        <f>'Cash Flow %s Yr2'!L30</f>
        <v>0</v>
      </c>
      <c r="M30" s="115">
        <f>'Cash Flow %s Yr2'!M30</f>
        <v>0.5</v>
      </c>
      <c r="N30" s="115">
        <f>'Cash Flow %s Yr2'!N30</f>
        <v>0</v>
      </c>
      <c r="O30" s="115">
        <f>'Cash Flow %s Yr2'!O30</f>
        <v>0.25</v>
      </c>
      <c r="P30" s="115">
        <f>'Cash Flow %s Yr2'!P30</f>
        <v>0</v>
      </c>
      <c r="Q30" s="115">
        <f>'Cash Flow %s Yr2'!Q30</f>
        <v>0</v>
      </c>
      <c r="R30" s="115">
        <f>'Cash Flow %s Yr2'!R30</f>
        <v>0</v>
      </c>
      <c r="S30" s="111">
        <f t="shared" si="2"/>
        <v>1</v>
      </c>
    </row>
    <row r="31" spans="1:20" s="31" customFormat="1" ht="18" x14ac:dyDescent="0.2">
      <c r="A31" s="47"/>
      <c r="B31" s="65" t="str">
        <f>'Revenue Input'!B27</f>
        <v>8294</v>
      </c>
      <c r="C31" s="65" t="str">
        <f>'Revenue Input'!C27</f>
        <v>Title IV</v>
      </c>
      <c r="D31" s="115">
        <f>'Cash Flow %s Yr2'!D31</f>
        <v>0</v>
      </c>
      <c r="E31" s="115">
        <f>'Cash Flow %s Yr2'!E31</f>
        <v>0</v>
      </c>
      <c r="F31" s="115">
        <f>'Cash Flow %s Yr2'!F31</f>
        <v>0</v>
      </c>
      <c r="G31" s="115">
        <f>'Cash Flow %s Yr2'!G31</f>
        <v>0</v>
      </c>
      <c r="H31" s="115">
        <f>'Cash Flow %s Yr2'!H31</f>
        <v>0</v>
      </c>
      <c r="I31" s="115">
        <f>'Cash Flow %s Yr2'!I31</f>
        <v>0</v>
      </c>
      <c r="J31" s="115">
        <f>'Cash Flow %s Yr2'!J31</f>
        <v>0.25</v>
      </c>
      <c r="K31" s="115">
        <f>'Cash Flow %s Yr2'!K31</f>
        <v>0</v>
      </c>
      <c r="L31" s="115">
        <f>'Cash Flow %s Yr2'!L31</f>
        <v>0</v>
      </c>
      <c r="M31" s="115">
        <f>'Cash Flow %s Yr2'!M31</f>
        <v>0.5</v>
      </c>
      <c r="N31" s="115">
        <f>'Cash Flow %s Yr2'!N31</f>
        <v>0</v>
      </c>
      <c r="O31" s="115">
        <f>'Cash Flow %s Yr2'!O31</f>
        <v>0.25</v>
      </c>
      <c r="P31" s="115">
        <f>'Cash Flow %s Yr2'!P31</f>
        <v>0</v>
      </c>
      <c r="Q31" s="115">
        <f>'Cash Flow %s Yr2'!Q31</f>
        <v>0</v>
      </c>
      <c r="R31" s="115">
        <f>'Cash Flow %s Yr2'!R31</f>
        <v>0</v>
      </c>
      <c r="S31" s="111">
        <f t="shared" si="2"/>
        <v>1</v>
      </c>
    </row>
    <row r="32" spans="1:20" s="31" customFormat="1" ht="18" x14ac:dyDescent="0.2">
      <c r="A32" s="47"/>
      <c r="B32" s="65" t="str">
        <f>'Revenue Input'!B28</f>
        <v>8295</v>
      </c>
      <c r="C32" s="65" t="str">
        <f>'Revenue Input'!C28</f>
        <v>Title V</v>
      </c>
      <c r="D32" s="115">
        <f>'Cash Flow %s Yr2'!D32</f>
        <v>0</v>
      </c>
      <c r="E32" s="115">
        <f>'Cash Flow %s Yr2'!E32</f>
        <v>0</v>
      </c>
      <c r="F32" s="115">
        <f>'Cash Flow %s Yr2'!F32</f>
        <v>1</v>
      </c>
      <c r="G32" s="115">
        <f>'Cash Flow %s Yr2'!G32</f>
        <v>0</v>
      </c>
      <c r="H32" s="115">
        <f>'Cash Flow %s Yr2'!H32</f>
        <v>0</v>
      </c>
      <c r="I32" s="115">
        <f>'Cash Flow %s Yr2'!I32</f>
        <v>0</v>
      </c>
      <c r="J32" s="115">
        <f>'Cash Flow %s Yr2'!J32</f>
        <v>0</v>
      </c>
      <c r="K32" s="115">
        <f>'Cash Flow %s Yr2'!K32</f>
        <v>0</v>
      </c>
      <c r="L32" s="115">
        <f>'Cash Flow %s Yr2'!L32</f>
        <v>0</v>
      </c>
      <c r="M32" s="115">
        <f>'Cash Flow %s Yr2'!M32</f>
        <v>0</v>
      </c>
      <c r="N32" s="115">
        <f>'Cash Flow %s Yr2'!N32</f>
        <v>0</v>
      </c>
      <c r="O32" s="115">
        <f>'Cash Flow %s Yr2'!O32</f>
        <v>0</v>
      </c>
      <c r="P32" s="115">
        <f>'Cash Flow %s Yr2'!P32</f>
        <v>0</v>
      </c>
      <c r="Q32" s="115">
        <f>'Cash Flow %s Yr2'!Q32</f>
        <v>0</v>
      </c>
      <c r="R32" s="115">
        <f>'Cash Flow %s Yr2'!R32</f>
        <v>0</v>
      </c>
      <c r="S32" s="111">
        <f t="shared" si="2"/>
        <v>1</v>
      </c>
    </row>
    <row r="33" spans="1:19" s="31" customFormat="1" ht="18" x14ac:dyDescent="0.2">
      <c r="A33" s="47"/>
      <c r="B33" s="65" t="str">
        <f>'Revenue Input'!B29</f>
        <v>8299</v>
      </c>
      <c r="C33" s="65" t="str">
        <f>'Revenue Input'!C29</f>
        <v>Prior Year Federal Revenue</v>
      </c>
      <c r="D33" s="115">
        <f>'Cash Flow %s Yr2'!D33</f>
        <v>0</v>
      </c>
      <c r="E33" s="115">
        <f>'Cash Flow %s Yr2'!E33</f>
        <v>0</v>
      </c>
      <c r="F33" s="115">
        <f>'Cash Flow %s Yr2'!F33</f>
        <v>0.5</v>
      </c>
      <c r="G33" s="115">
        <f>'Cash Flow %s Yr2'!G33</f>
        <v>0</v>
      </c>
      <c r="H33" s="115">
        <f>'Cash Flow %s Yr2'!H33</f>
        <v>0</v>
      </c>
      <c r="I33" s="115" t="e">
        <f>'Cash Flow %s Yr2'!I33</f>
        <v>#REF!</v>
      </c>
      <c r="J33" s="115">
        <f>'Cash Flow %s Yr2'!J33</f>
        <v>0</v>
      </c>
      <c r="K33" s="115">
        <f>'Cash Flow %s Yr2'!K33</f>
        <v>0.4</v>
      </c>
      <c r="L33" s="115">
        <f>'Cash Flow %s Yr2'!L33</f>
        <v>0</v>
      </c>
      <c r="M33" s="115">
        <f>'Cash Flow %s Yr2'!M33</f>
        <v>0</v>
      </c>
      <c r="N33" s="115">
        <f>'Cash Flow %s Yr2'!N33</f>
        <v>0.1</v>
      </c>
      <c r="O33" s="115">
        <f>'Cash Flow %s Yr2'!O33</f>
        <v>0</v>
      </c>
      <c r="P33" s="115">
        <f>'Cash Flow %s Yr2'!P33</f>
        <v>0</v>
      </c>
      <c r="Q33" s="115">
        <f>'Cash Flow %s Yr2'!Q33</f>
        <v>0</v>
      </c>
      <c r="R33" s="115">
        <f>'Cash Flow %s Yr2'!R33</f>
        <v>0</v>
      </c>
      <c r="S33" s="111" t="e">
        <f t="shared" si="2"/>
        <v>#REF!</v>
      </c>
    </row>
    <row r="34" spans="1:19" s="31" customFormat="1" ht="18" x14ac:dyDescent="0.2">
      <c r="A34" s="47"/>
      <c r="B34" s="72"/>
      <c r="C34" s="50"/>
      <c r="D34" s="120"/>
      <c r="E34" s="120"/>
      <c r="F34" s="120"/>
      <c r="G34" s="120"/>
      <c r="H34" s="120"/>
      <c r="I34" s="120"/>
      <c r="J34" s="120"/>
      <c r="K34" s="120"/>
      <c r="L34" s="120"/>
      <c r="M34" s="120"/>
      <c r="N34" s="120"/>
      <c r="O34" s="120"/>
      <c r="P34" s="120"/>
      <c r="Q34" s="120"/>
      <c r="R34" s="120"/>
      <c r="S34" s="111"/>
    </row>
    <row r="35" spans="1:19" s="31" customFormat="1" ht="18" x14ac:dyDescent="0.2">
      <c r="A35" s="47"/>
      <c r="B35" s="72"/>
      <c r="C35" s="50"/>
      <c r="D35" s="123"/>
      <c r="E35" s="123"/>
      <c r="F35" s="123"/>
      <c r="G35" s="123"/>
      <c r="H35" s="123"/>
      <c r="I35" s="123"/>
      <c r="J35" s="123"/>
      <c r="K35" s="123"/>
      <c r="L35" s="123"/>
      <c r="M35" s="123"/>
      <c r="N35" s="123"/>
      <c r="O35" s="123"/>
      <c r="P35" s="123"/>
      <c r="Q35" s="123"/>
      <c r="R35" s="123"/>
      <c r="S35" s="111"/>
    </row>
    <row r="36" spans="1:19" s="31" customFormat="1" ht="18" x14ac:dyDescent="0.2">
      <c r="B36" s="47" t="s">
        <v>795</v>
      </c>
      <c r="C36" s="50"/>
      <c r="D36" s="123"/>
      <c r="E36" s="123"/>
      <c r="F36" s="123"/>
      <c r="G36" s="123"/>
      <c r="H36" s="123"/>
      <c r="I36" s="123"/>
      <c r="J36" s="123"/>
      <c r="K36" s="123"/>
      <c r="L36" s="123"/>
      <c r="M36" s="123"/>
      <c r="N36" s="123"/>
      <c r="O36" s="123"/>
      <c r="P36" s="123"/>
      <c r="Q36" s="123"/>
      <c r="R36" s="123"/>
      <c r="S36" s="111"/>
    </row>
    <row r="37" spans="1:19" s="31" customFormat="1" ht="18" x14ac:dyDescent="0.2">
      <c r="A37" s="47"/>
      <c r="B37" s="65" t="str">
        <f>'Revenue Input'!B33</f>
        <v>8660</v>
      </c>
      <c r="C37" s="65" t="str">
        <f>'Revenue Input'!C33</f>
        <v>Interest</v>
      </c>
      <c r="D37" s="115">
        <f>'Cash Flow %s Yr2'!D37</f>
        <v>8.3000000000000004E-2</v>
      </c>
      <c r="E37" s="115">
        <f>'Cash Flow %s Yr2'!E37</f>
        <v>8.3000000000000004E-2</v>
      </c>
      <c r="F37" s="115">
        <f>'Cash Flow %s Yr2'!F37</f>
        <v>8.3000000000000004E-2</v>
      </c>
      <c r="G37" s="115">
        <f>'Cash Flow %s Yr2'!G37</f>
        <v>8.3000000000000004E-2</v>
      </c>
      <c r="H37" s="115">
        <f>'Cash Flow %s Yr2'!H37</f>
        <v>8.3000000000000004E-2</v>
      </c>
      <c r="I37" s="115">
        <f>'Cash Flow %s Yr2'!I37</f>
        <v>8.3000000000000004E-2</v>
      </c>
      <c r="J37" s="115">
        <f>'Cash Flow %s Yr2'!J37</f>
        <v>8.3000000000000004E-2</v>
      </c>
      <c r="K37" s="115">
        <f>'Cash Flow %s Yr2'!K37</f>
        <v>8.3000000000000004E-2</v>
      </c>
      <c r="L37" s="115">
        <f>'Cash Flow %s Yr2'!L37</f>
        <v>8.4000000000000005E-2</v>
      </c>
      <c r="M37" s="115">
        <f>'Cash Flow %s Yr2'!M37</f>
        <v>8.4000000000000005E-2</v>
      </c>
      <c r="N37" s="115">
        <f>'Cash Flow %s Yr2'!N37</f>
        <v>8.4000000000000005E-2</v>
      </c>
      <c r="O37" s="115">
        <f>'Cash Flow %s Yr2'!O37</f>
        <v>8.4000000000000005E-2</v>
      </c>
      <c r="P37" s="115">
        <f>'Cash Flow %s Yr2'!P37</f>
        <v>0</v>
      </c>
      <c r="Q37" s="115">
        <f>'Cash Flow %s Yr2'!Q37</f>
        <v>0</v>
      </c>
      <c r="R37" s="115">
        <f>'Cash Flow %s Yr2'!R37</f>
        <v>0</v>
      </c>
      <c r="S37" s="111">
        <f t="shared" ref="S37:S49" si="3">SUM(D37:R37)</f>
        <v>0.99999999999999989</v>
      </c>
    </row>
    <row r="38" spans="1:19" s="31" customFormat="1" ht="18" x14ac:dyDescent="0.2">
      <c r="A38" s="47"/>
      <c r="B38" s="65" t="str">
        <f>'Revenue Input'!B34</f>
        <v>8782</v>
      </c>
      <c r="C38" s="65" t="str">
        <f>'Revenue Input'!C34</f>
        <v>All Other Transfers from County Offices</v>
      </c>
      <c r="D38" s="115">
        <f>'Cash Flow %s Yr2'!D38</f>
        <v>0</v>
      </c>
      <c r="E38" s="115">
        <f>'Cash Flow %s Yr2'!E38</f>
        <v>0</v>
      </c>
      <c r="F38" s="115">
        <f>'Cash Flow %s Yr2'!F38</f>
        <v>0.1</v>
      </c>
      <c r="G38" s="115">
        <f>'Cash Flow %s Yr2'!G38</f>
        <v>0.1</v>
      </c>
      <c r="H38" s="115">
        <f>'Cash Flow %s Yr2'!H38</f>
        <v>0.1</v>
      </c>
      <c r="I38" s="115">
        <f>'Cash Flow %s Yr2'!I38</f>
        <v>0.1</v>
      </c>
      <c r="J38" s="115">
        <f>'Cash Flow %s Yr2'!J38</f>
        <v>0.1</v>
      </c>
      <c r="K38" s="115">
        <f>'Cash Flow %s Yr2'!K38</f>
        <v>0.1</v>
      </c>
      <c r="L38" s="115">
        <f>'Cash Flow %s Yr2'!L38</f>
        <v>0.1</v>
      </c>
      <c r="M38" s="115">
        <f>'Cash Flow %s Yr2'!M38</f>
        <v>0.1</v>
      </c>
      <c r="N38" s="115">
        <f>'Cash Flow %s Yr2'!N38</f>
        <v>0.1</v>
      </c>
      <c r="O38" s="115">
        <f>'Cash Flow %s Yr2'!O38</f>
        <v>0.1</v>
      </c>
      <c r="P38" s="115">
        <f>'Cash Flow %s Yr2'!P38</f>
        <v>0</v>
      </c>
      <c r="Q38" s="115">
        <f>'Cash Flow %s Yr2'!Q38</f>
        <v>0</v>
      </c>
      <c r="R38" s="115">
        <f>'Cash Flow %s Yr2'!R38</f>
        <v>0</v>
      </c>
      <c r="S38" s="111">
        <f t="shared" si="3"/>
        <v>0.99999999999999989</v>
      </c>
    </row>
    <row r="39" spans="1:19" s="31" customFormat="1" ht="18" x14ac:dyDescent="0.2">
      <c r="A39" s="47"/>
      <c r="B39" s="65" t="str">
        <f>'Revenue Input'!B35</f>
        <v>8784</v>
      </c>
      <c r="C39" s="65" t="str">
        <f>'Revenue Input'!C35</f>
        <v>All Other Transfers from Other Locations</v>
      </c>
      <c r="D39" s="115">
        <f>'Cash Flow %s Yr2'!D39</f>
        <v>0</v>
      </c>
      <c r="E39" s="115">
        <f>'Cash Flow %s Yr2'!E39</f>
        <v>0</v>
      </c>
      <c r="F39" s="115">
        <f>'Cash Flow %s Yr2'!F39</f>
        <v>0.1</v>
      </c>
      <c r="G39" s="115">
        <f>'Cash Flow %s Yr2'!G39</f>
        <v>0.1</v>
      </c>
      <c r="H39" s="115">
        <f>'Cash Flow %s Yr2'!H39</f>
        <v>0.1</v>
      </c>
      <c r="I39" s="115">
        <f>'Cash Flow %s Yr2'!I39</f>
        <v>0.1</v>
      </c>
      <c r="J39" s="115">
        <f>'Cash Flow %s Yr2'!J39</f>
        <v>0.1</v>
      </c>
      <c r="K39" s="115">
        <f>'Cash Flow %s Yr2'!K39</f>
        <v>0.1</v>
      </c>
      <c r="L39" s="115">
        <f>'Cash Flow %s Yr2'!L39</f>
        <v>0.1</v>
      </c>
      <c r="M39" s="115">
        <f>'Cash Flow %s Yr2'!M39</f>
        <v>0.1</v>
      </c>
      <c r="N39" s="115">
        <f>'Cash Flow %s Yr2'!N39</f>
        <v>0.1</v>
      </c>
      <c r="O39" s="115">
        <f>'Cash Flow %s Yr2'!O39</f>
        <v>0.1</v>
      </c>
      <c r="P39" s="115">
        <f>'Cash Flow %s Yr2'!P39</f>
        <v>0</v>
      </c>
      <c r="Q39" s="115">
        <f>'Cash Flow %s Yr2'!Q39</f>
        <v>0</v>
      </c>
      <c r="R39" s="115">
        <f>'Cash Flow %s Yr2'!R39</f>
        <v>0</v>
      </c>
      <c r="S39" s="111">
        <f t="shared" si="3"/>
        <v>0.99999999999999989</v>
      </c>
    </row>
    <row r="40" spans="1:19" s="31" customFormat="1" x14ac:dyDescent="0.2">
      <c r="A40" s="49"/>
      <c r="B40" s="65" t="str">
        <f>'Revenue Input'!B36</f>
        <v>8785</v>
      </c>
      <c r="C40" s="65" t="str">
        <f>'Revenue Input'!C36</f>
        <v>CMO Management fee</v>
      </c>
      <c r="D40" s="115">
        <f>'Cash Flow %s Yr2'!D40</f>
        <v>0</v>
      </c>
      <c r="E40" s="115">
        <f>'Cash Flow %s Yr2'!E40</f>
        <v>0</v>
      </c>
      <c r="F40" s="115">
        <f>'Cash Flow %s Yr2'!F40</f>
        <v>0.1</v>
      </c>
      <c r="G40" s="115">
        <f>'Cash Flow %s Yr2'!G40</f>
        <v>0.1</v>
      </c>
      <c r="H40" s="115">
        <f>'Cash Flow %s Yr2'!H40</f>
        <v>0.1</v>
      </c>
      <c r="I40" s="115">
        <f>'Cash Flow %s Yr2'!I40</f>
        <v>0.1</v>
      </c>
      <c r="J40" s="115">
        <f>'Cash Flow %s Yr2'!J40</f>
        <v>0.1</v>
      </c>
      <c r="K40" s="115">
        <f>'Cash Flow %s Yr2'!K40</f>
        <v>0.1</v>
      </c>
      <c r="L40" s="115">
        <f>'Cash Flow %s Yr2'!L40</f>
        <v>0.1</v>
      </c>
      <c r="M40" s="115">
        <f>'Cash Flow %s Yr2'!M40</f>
        <v>0.1</v>
      </c>
      <c r="N40" s="115">
        <f>'Cash Flow %s Yr2'!N40</f>
        <v>0.1</v>
      </c>
      <c r="O40" s="115">
        <f>'Cash Flow %s Yr2'!O40</f>
        <v>0.1</v>
      </c>
      <c r="P40" s="115">
        <f>'Cash Flow %s Yr2'!P40</f>
        <v>0</v>
      </c>
      <c r="Q40" s="115">
        <f>'Cash Flow %s Yr2'!Q40</f>
        <v>0</v>
      </c>
      <c r="R40" s="115">
        <f>'Cash Flow %s Yr2'!R40</f>
        <v>0</v>
      </c>
      <c r="S40" s="111">
        <f t="shared" si="3"/>
        <v>0.99999999999999989</v>
      </c>
    </row>
    <row r="41" spans="1:19" s="31" customFormat="1" x14ac:dyDescent="0.2">
      <c r="A41" s="50"/>
      <c r="B41" s="65" t="str">
        <f>'Revenue Input'!B37</f>
        <v>8792</v>
      </c>
      <c r="C41" s="65" t="str">
        <f>'Revenue Input'!C37</f>
        <v>Special Ed - AB 602</v>
      </c>
      <c r="D41" s="115">
        <f>'Cash Flow %s Yr2'!D41</f>
        <v>0</v>
      </c>
      <c r="E41" s="115">
        <f>'Cash Flow %s Yr2'!E41</f>
        <v>0</v>
      </c>
      <c r="F41" s="115">
        <f>'Cash Flow %s Yr2'!F41</f>
        <v>0.1</v>
      </c>
      <c r="G41" s="115">
        <f>'Cash Flow %s Yr2'!G41</f>
        <v>0.1</v>
      </c>
      <c r="H41" s="115">
        <f>'Cash Flow %s Yr2'!H41</f>
        <v>0.1</v>
      </c>
      <c r="I41" s="115">
        <f>'Cash Flow %s Yr2'!I41</f>
        <v>0.1</v>
      </c>
      <c r="J41" s="115">
        <f>'Cash Flow %s Yr2'!J41</f>
        <v>0.1</v>
      </c>
      <c r="K41" s="115">
        <f>'Cash Flow %s Yr2'!K41</f>
        <v>0.1</v>
      </c>
      <c r="L41" s="115">
        <f>'Cash Flow %s Yr2'!L41</f>
        <v>0.1</v>
      </c>
      <c r="M41" s="115">
        <f>'Cash Flow %s Yr2'!M41</f>
        <v>0.1</v>
      </c>
      <c r="N41" s="115">
        <f>'Cash Flow %s Yr2'!N41</f>
        <v>0.1</v>
      </c>
      <c r="O41" s="115">
        <f>'Cash Flow %s Yr2'!O41</f>
        <v>0.1</v>
      </c>
      <c r="P41" s="115">
        <f>'Cash Flow %s Yr2'!P41</f>
        <v>0</v>
      </c>
      <c r="Q41" s="115">
        <f>'Cash Flow %s Yr2'!Q41</f>
        <v>0</v>
      </c>
      <c r="R41" s="115">
        <f>'Cash Flow %s Yr2'!R41</f>
        <v>0</v>
      </c>
      <c r="S41" s="111">
        <f t="shared" si="3"/>
        <v>0.99999999999999989</v>
      </c>
    </row>
    <row r="42" spans="1:19" s="31" customFormat="1" ht="18" x14ac:dyDescent="0.2">
      <c r="A42" s="47"/>
      <c r="B42" s="65" t="str">
        <f>'Revenue Input'!B38</f>
        <v>8980</v>
      </c>
      <c r="C42" s="65" t="str">
        <f>'Revenue Input'!C38</f>
        <v>Student Lunch Revenue</v>
      </c>
      <c r="D42" s="115">
        <f>'Cash Flow %s Yr2'!D42</f>
        <v>0</v>
      </c>
      <c r="E42" s="115">
        <f>'Cash Flow %s Yr2'!E42</f>
        <v>0</v>
      </c>
      <c r="F42" s="115">
        <f>'Cash Flow %s Yr2'!F42</f>
        <v>0.1</v>
      </c>
      <c r="G42" s="115">
        <f>'Cash Flow %s Yr2'!G42</f>
        <v>0.1</v>
      </c>
      <c r="H42" s="115">
        <f>'Cash Flow %s Yr2'!H42</f>
        <v>0.1</v>
      </c>
      <c r="I42" s="115">
        <f>'Cash Flow %s Yr2'!I42</f>
        <v>0.1</v>
      </c>
      <c r="J42" s="115">
        <f>'Cash Flow %s Yr2'!J42</f>
        <v>0.1</v>
      </c>
      <c r="K42" s="115">
        <f>'Cash Flow %s Yr2'!K42</f>
        <v>0.1</v>
      </c>
      <c r="L42" s="115">
        <f>'Cash Flow %s Yr2'!L42</f>
        <v>0.1</v>
      </c>
      <c r="M42" s="115">
        <f>'Cash Flow %s Yr2'!M42</f>
        <v>0.1</v>
      </c>
      <c r="N42" s="115">
        <f>'Cash Flow %s Yr2'!N42</f>
        <v>0.1</v>
      </c>
      <c r="O42" s="115">
        <f>'Cash Flow %s Yr2'!O42</f>
        <v>0.1</v>
      </c>
      <c r="P42" s="115">
        <f>'Cash Flow %s Yr2'!P42</f>
        <v>0</v>
      </c>
      <c r="Q42" s="115">
        <f>'Cash Flow %s Yr2'!Q42</f>
        <v>0</v>
      </c>
      <c r="R42" s="115">
        <f>'Cash Flow %s Yr2'!R42</f>
        <v>0</v>
      </c>
      <c r="S42" s="111">
        <f t="shared" si="3"/>
        <v>0.99999999999999989</v>
      </c>
    </row>
    <row r="43" spans="1:19" s="31" customFormat="1" ht="18" x14ac:dyDescent="0.2">
      <c r="A43" s="47"/>
      <c r="B43" s="65" t="str">
        <f>'Revenue Input'!B39</f>
        <v>8982</v>
      </c>
      <c r="C43" s="65" t="str">
        <f>'Revenue Input'!C39</f>
        <v>Foundation Grants</v>
      </c>
      <c r="D43" s="115">
        <f>'Cash Flow %s Yr2'!D43</f>
        <v>0</v>
      </c>
      <c r="E43" s="115">
        <f>'Cash Flow %s Yr2'!E43</f>
        <v>0</v>
      </c>
      <c r="F43" s="115">
        <f>'Cash Flow %s Yr2'!F43</f>
        <v>0.1</v>
      </c>
      <c r="G43" s="115">
        <f>'Cash Flow %s Yr2'!G43</f>
        <v>0.1</v>
      </c>
      <c r="H43" s="115">
        <f>'Cash Flow %s Yr2'!H43</f>
        <v>0.1</v>
      </c>
      <c r="I43" s="115">
        <f>'Cash Flow %s Yr2'!I43</f>
        <v>0.1</v>
      </c>
      <c r="J43" s="115">
        <f>'Cash Flow %s Yr2'!J43</f>
        <v>0.1</v>
      </c>
      <c r="K43" s="115">
        <f>'Cash Flow %s Yr2'!K43</f>
        <v>0.1</v>
      </c>
      <c r="L43" s="115">
        <f>'Cash Flow %s Yr2'!L43</f>
        <v>0.1</v>
      </c>
      <c r="M43" s="115">
        <f>'Cash Flow %s Yr2'!M43</f>
        <v>0.1</v>
      </c>
      <c r="N43" s="115">
        <f>'Cash Flow %s Yr2'!N43</f>
        <v>0.1</v>
      </c>
      <c r="O43" s="115">
        <f>'Cash Flow %s Yr2'!O43</f>
        <v>0.1</v>
      </c>
      <c r="P43" s="115">
        <f>'Cash Flow %s Yr2'!P43</f>
        <v>0</v>
      </c>
      <c r="Q43" s="115">
        <f>'Cash Flow %s Yr2'!Q43</f>
        <v>0</v>
      </c>
      <c r="R43" s="115">
        <f>'Cash Flow %s Yr2'!R43</f>
        <v>0</v>
      </c>
      <c r="S43" s="111">
        <f t="shared" si="3"/>
        <v>0.99999999999999989</v>
      </c>
    </row>
    <row r="44" spans="1:19" s="31" customFormat="1" ht="18" x14ac:dyDescent="0.2">
      <c r="A44" s="47"/>
      <c r="B44" s="65" t="str">
        <f>'Revenue Input'!B40</f>
        <v>8983</v>
      </c>
      <c r="C44" s="65" t="str">
        <f>'Revenue Input'!C40</f>
        <v>All Other Local Revenue</v>
      </c>
      <c r="D44" s="115">
        <f>'Cash Flow %s Yr2'!D44</f>
        <v>0</v>
      </c>
      <c r="E44" s="115">
        <f>'Cash Flow %s Yr2'!E44</f>
        <v>0</v>
      </c>
      <c r="F44" s="115">
        <f>'Cash Flow %s Yr2'!F44</f>
        <v>0</v>
      </c>
      <c r="G44" s="115">
        <f>'Cash Flow %s Yr2'!G44</f>
        <v>0</v>
      </c>
      <c r="H44" s="115">
        <f>'Cash Flow %s Yr2'!H44</f>
        <v>0.1</v>
      </c>
      <c r="I44" s="115">
        <f>'Cash Flow %s Yr2'!I44</f>
        <v>0.1</v>
      </c>
      <c r="J44" s="115">
        <f>'Cash Flow %s Yr2'!J44</f>
        <v>0.1</v>
      </c>
      <c r="K44" s="115">
        <f>'Cash Flow %s Yr2'!K44</f>
        <v>0.1</v>
      </c>
      <c r="L44" s="115">
        <f>'Cash Flow %s Yr2'!L44</f>
        <v>0.1</v>
      </c>
      <c r="M44" s="115">
        <f>'Cash Flow %s Yr2'!M44</f>
        <v>0.1</v>
      </c>
      <c r="N44" s="115">
        <f>'Cash Flow %s Yr2'!N44</f>
        <v>0.1</v>
      </c>
      <c r="O44" s="115">
        <f>'Cash Flow %s Yr2'!O44</f>
        <v>0.1</v>
      </c>
      <c r="P44" s="115">
        <f>'Cash Flow %s Yr2'!P44</f>
        <v>0.1</v>
      </c>
      <c r="Q44" s="115">
        <f>'Cash Flow %s Yr2'!Q44</f>
        <v>0.1</v>
      </c>
      <c r="R44" s="115">
        <f>'Cash Flow %s Yr2'!R44</f>
        <v>0</v>
      </c>
      <c r="S44" s="111">
        <f t="shared" si="3"/>
        <v>0.99999999999999989</v>
      </c>
    </row>
    <row r="45" spans="1:19" s="31" customFormat="1" ht="18" x14ac:dyDescent="0.2">
      <c r="A45" s="47"/>
      <c r="B45" s="65" t="str">
        <f>'Revenue Input'!B41</f>
        <v>8984</v>
      </c>
      <c r="C45" s="65" t="str">
        <f>'Revenue Input'!C41</f>
        <v>Student Body (ASB) Fundraising Revenue</v>
      </c>
      <c r="D45" s="115">
        <f>'Cash Flow %s Yr2'!D45</f>
        <v>0</v>
      </c>
      <c r="E45" s="115">
        <f>'Cash Flow %s Yr2'!E45</f>
        <v>0</v>
      </c>
      <c r="F45" s="115">
        <f>'Cash Flow %s Yr2'!F45</f>
        <v>0.1</v>
      </c>
      <c r="G45" s="115">
        <f>'Cash Flow %s Yr2'!G45</f>
        <v>0.1</v>
      </c>
      <c r="H45" s="115">
        <f>'Cash Flow %s Yr2'!H45</f>
        <v>0.1</v>
      </c>
      <c r="I45" s="115">
        <f>'Cash Flow %s Yr2'!I45</f>
        <v>0.1</v>
      </c>
      <c r="J45" s="115">
        <f>'Cash Flow %s Yr2'!J45</f>
        <v>0.1</v>
      </c>
      <c r="K45" s="115">
        <f>'Cash Flow %s Yr2'!K45</f>
        <v>0.1</v>
      </c>
      <c r="L45" s="115">
        <f>'Cash Flow %s Yr2'!L45</f>
        <v>0.1</v>
      </c>
      <c r="M45" s="115">
        <f>'Cash Flow %s Yr2'!M45</f>
        <v>0.1</v>
      </c>
      <c r="N45" s="115">
        <f>'Cash Flow %s Yr2'!N45</f>
        <v>0.1</v>
      </c>
      <c r="O45" s="115">
        <f>'Cash Flow %s Yr2'!O45</f>
        <v>0.1</v>
      </c>
      <c r="P45" s="115">
        <f>'Cash Flow %s Yr2'!P45</f>
        <v>0</v>
      </c>
      <c r="Q45" s="115">
        <f>'Cash Flow %s Yr2'!Q45</f>
        <v>0</v>
      </c>
      <c r="R45" s="115">
        <f>'Cash Flow %s Yr2'!R45</f>
        <v>0</v>
      </c>
      <c r="S45" s="111">
        <f t="shared" si="3"/>
        <v>0.99999999999999989</v>
      </c>
    </row>
    <row r="46" spans="1:19" s="31" customFormat="1" ht="18" x14ac:dyDescent="0.2">
      <c r="A46" s="47"/>
      <c r="B46" s="65" t="str">
        <f>'Revenue Input'!B42</f>
        <v>8985</v>
      </c>
      <c r="C46" s="65" t="str">
        <f>'Revenue Input'!C42</f>
        <v>School Site Fundraising</v>
      </c>
      <c r="D46" s="115">
        <f>'Cash Flow %s Yr2'!D46</f>
        <v>0</v>
      </c>
      <c r="E46" s="115">
        <f>'Cash Flow %s Yr2'!E46</f>
        <v>0</v>
      </c>
      <c r="F46" s="115">
        <f>'Cash Flow %s Yr2'!F46</f>
        <v>0.1</v>
      </c>
      <c r="G46" s="115">
        <f>'Cash Flow %s Yr2'!G46</f>
        <v>0.1</v>
      </c>
      <c r="H46" s="115">
        <f>'Cash Flow %s Yr2'!H46</f>
        <v>0.1</v>
      </c>
      <c r="I46" s="115">
        <f>'Cash Flow %s Yr2'!I46</f>
        <v>0.1</v>
      </c>
      <c r="J46" s="115">
        <f>'Cash Flow %s Yr2'!J46</f>
        <v>0.1</v>
      </c>
      <c r="K46" s="115">
        <f>'Cash Flow %s Yr2'!K46</f>
        <v>0.1</v>
      </c>
      <c r="L46" s="115">
        <f>'Cash Flow %s Yr2'!L46</f>
        <v>0.1</v>
      </c>
      <c r="M46" s="115">
        <f>'Cash Flow %s Yr2'!M46</f>
        <v>0.1</v>
      </c>
      <c r="N46" s="115">
        <f>'Cash Flow %s Yr2'!N46</f>
        <v>0.1</v>
      </c>
      <c r="O46" s="115">
        <f>'Cash Flow %s Yr2'!O46</f>
        <v>0.1</v>
      </c>
      <c r="P46" s="115">
        <f>'Cash Flow %s Yr2'!P46</f>
        <v>0</v>
      </c>
      <c r="Q46" s="115">
        <f>'Cash Flow %s Yr2'!Q46</f>
        <v>0</v>
      </c>
      <c r="R46" s="115">
        <f>'Cash Flow %s Yr2'!R46</f>
        <v>0</v>
      </c>
      <c r="S46" s="111">
        <f>SUM(D46:R46)</f>
        <v>0.99999999999999989</v>
      </c>
    </row>
    <row r="47" spans="1:19" s="31" customFormat="1" ht="18" x14ac:dyDescent="0.2">
      <c r="A47" s="47"/>
      <c r="B47" s="65" t="str">
        <f>'Revenue Input'!B43</f>
        <v>8986</v>
      </c>
      <c r="C47" s="65" t="str">
        <f>'Revenue Input'!C43</f>
        <v>Rental Income</v>
      </c>
      <c r="D47" s="115">
        <f>'Cash Flow %s Yr2'!D47</f>
        <v>0</v>
      </c>
      <c r="E47" s="115">
        <f>'Cash Flow %s Yr2'!E47</f>
        <v>0</v>
      </c>
      <c r="F47" s="115">
        <f>'Cash Flow %s Yr2'!F47</f>
        <v>0.1</v>
      </c>
      <c r="G47" s="115">
        <f>'Cash Flow %s Yr2'!G47</f>
        <v>0.1</v>
      </c>
      <c r="H47" s="115">
        <f>'Cash Flow %s Yr2'!H47</f>
        <v>0.1</v>
      </c>
      <c r="I47" s="115">
        <f>'Cash Flow %s Yr2'!I47</f>
        <v>0.1</v>
      </c>
      <c r="J47" s="115">
        <f>'Cash Flow %s Yr2'!J47</f>
        <v>0.1</v>
      </c>
      <c r="K47" s="115">
        <f>'Cash Flow %s Yr2'!K47</f>
        <v>0.1</v>
      </c>
      <c r="L47" s="115">
        <f>'Cash Flow %s Yr2'!L47</f>
        <v>0.1</v>
      </c>
      <c r="M47" s="115">
        <f>'Cash Flow %s Yr2'!M47</f>
        <v>0.1</v>
      </c>
      <c r="N47" s="115">
        <f>'Cash Flow %s Yr2'!N47</f>
        <v>0.1</v>
      </c>
      <c r="O47" s="115">
        <f>'Cash Flow %s Yr2'!O47</f>
        <v>0.1</v>
      </c>
      <c r="P47" s="115">
        <f>'Cash Flow %s Yr2'!P47</f>
        <v>0</v>
      </c>
      <c r="Q47" s="115">
        <f>'Cash Flow %s Yr2'!Q47</f>
        <v>0</v>
      </c>
      <c r="R47" s="115">
        <f>'Cash Flow %s Yr2'!R47</f>
        <v>0</v>
      </c>
      <c r="S47" s="111">
        <f>SUM(D47:R47)</f>
        <v>0.99999999999999989</v>
      </c>
    </row>
    <row r="48" spans="1:19" s="31" customFormat="1" ht="18" x14ac:dyDescent="0.2">
      <c r="A48" s="47"/>
      <c r="B48" s="65" t="str">
        <f>'Revenue Input'!B44</f>
        <v>8989</v>
      </c>
      <c r="C48" s="65" t="str">
        <f>'Revenue Input'!C44</f>
        <v>Fees for Service</v>
      </c>
      <c r="D48" s="115">
        <f>'Cash Flow %s Yr2'!D48</f>
        <v>0</v>
      </c>
      <c r="E48" s="115">
        <f>'Cash Flow %s Yr2'!E48</f>
        <v>0</v>
      </c>
      <c r="F48" s="115">
        <f>'Cash Flow %s Yr2'!F48</f>
        <v>0.1</v>
      </c>
      <c r="G48" s="115">
        <f>'Cash Flow %s Yr2'!G48</f>
        <v>0.1</v>
      </c>
      <c r="H48" s="115">
        <f>'Cash Flow %s Yr2'!H48</f>
        <v>0.1</v>
      </c>
      <c r="I48" s="115">
        <f>'Cash Flow %s Yr2'!I48</f>
        <v>0.1</v>
      </c>
      <c r="J48" s="115">
        <f>'Cash Flow %s Yr2'!J48</f>
        <v>0.1</v>
      </c>
      <c r="K48" s="115">
        <f>'Cash Flow %s Yr2'!K48</f>
        <v>0.1</v>
      </c>
      <c r="L48" s="115">
        <f>'Cash Flow %s Yr2'!L48</f>
        <v>0.1</v>
      </c>
      <c r="M48" s="115">
        <f>'Cash Flow %s Yr2'!M48</f>
        <v>0.1</v>
      </c>
      <c r="N48" s="115">
        <f>'Cash Flow %s Yr2'!N48</f>
        <v>0.1</v>
      </c>
      <c r="O48" s="115">
        <f>'Cash Flow %s Yr2'!O48</f>
        <v>0.1</v>
      </c>
      <c r="P48" s="115">
        <f>'Cash Flow %s Yr2'!P48</f>
        <v>0</v>
      </c>
      <c r="Q48" s="115">
        <f>'Cash Flow %s Yr2'!Q48</f>
        <v>0</v>
      </c>
      <c r="R48" s="115">
        <f>'Cash Flow %s Yr2'!R48</f>
        <v>0</v>
      </c>
      <c r="S48" s="111">
        <f>SUM(D48:R48)</f>
        <v>0.99999999999999989</v>
      </c>
    </row>
    <row r="49" spans="1:19" s="31" customFormat="1" ht="18" x14ac:dyDescent="0.2">
      <c r="A49" s="47"/>
      <c r="B49" s="65" t="str">
        <f>'Revenue Input'!B45</f>
        <v>8999</v>
      </c>
      <c r="C49" s="65" t="str">
        <f>'Revenue Input'!C45</f>
        <v>Revenue Suspense</v>
      </c>
      <c r="D49" s="115">
        <f>'Cash Flow %s Yr2'!D49</f>
        <v>0</v>
      </c>
      <c r="E49" s="115">
        <f>'Cash Flow %s Yr2'!E49</f>
        <v>0</v>
      </c>
      <c r="F49" s="115">
        <f>'Cash Flow %s Yr2'!F49</f>
        <v>0.1</v>
      </c>
      <c r="G49" s="115">
        <f>'Cash Flow %s Yr2'!G49</f>
        <v>0.1</v>
      </c>
      <c r="H49" s="115">
        <f>'Cash Flow %s Yr2'!H49</f>
        <v>0.1</v>
      </c>
      <c r="I49" s="115">
        <f>'Cash Flow %s Yr2'!I49</f>
        <v>0.1</v>
      </c>
      <c r="J49" s="115">
        <f>'Cash Flow %s Yr2'!J49</f>
        <v>0.1</v>
      </c>
      <c r="K49" s="115">
        <f>'Cash Flow %s Yr2'!K49</f>
        <v>0.1</v>
      </c>
      <c r="L49" s="115">
        <f>'Cash Flow %s Yr2'!L49</f>
        <v>0.1</v>
      </c>
      <c r="M49" s="115">
        <f>'Cash Flow %s Yr2'!M49</f>
        <v>0.1</v>
      </c>
      <c r="N49" s="115">
        <f>'Cash Flow %s Yr2'!N49</f>
        <v>0.1</v>
      </c>
      <c r="O49" s="115">
        <f>'Cash Flow %s Yr2'!O49</f>
        <v>0.1</v>
      </c>
      <c r="P49" s="115">
        <f>'Cash Flow %s Yr2'!P49</f>
        <v>0</v>
      </c>
      <c r="Q49" s="115">
        <f>'Cash Flow %s Yr2'!Q49</f>
        <v>0</v>
      </c>
      <c r="R49" s="115">
        <f>'Cash Flow %s Yr2'!R49</f>
        <v>0</v>
      </c>
      <c r="S49" s="111">
        <f t="shared" si="3"/>
        <v>0.99999999999999989</v>
      </c>
    </row>
    <row r="50" spans="1:19" s="31" customFormat="1" ht="18" x14ac:dyDescent="0.2">
      <c r="A50" s="47"/>
      <c r="B50" s="72"/>
      <c r="C50" s="50"/>
      <c r="D50" s="119"/>
      <c r="E50" s="119"/>
      <c r="F50" s="119"/>
      <c r="G50" s="119"/>
      <c r="H50" s="119"/>
      <c r="I50" s="119"/>
      <c r="J50" s="119"/>
      <c r="K50" s="119"/>
      <c r="L50" s="119"/>
      <c r="M50" s="119"/>
      <c r="N50" s="119"/>
      <c r="O50" s="119"/>
      <c r="P50" s="100"/>
      <c r="Q50" s="100"/>
      <c r="R50" s="100"/>
      <c r="S50" s="111"/>
    </row>
    <row r="51" spans="1:19" s="31" customFormat="1" ht="18" x14ac:dyDescent="0.2">
      <c r="A51" s="47"/>
      <c r="B51" s="72"/>
      <c r="C51" s="50"/>
      <c r="D51" s="119"/>
      <c r="E51" s="119"/>
      <c r="F51" s="119"/>
      <c r="G51" s="119"/>
      <c r="H51" s="119"/>
      <c r="I51" s="119"/>
      <c r="J51" s="119"/>
      <c r="K51" s="119"/>
      <c r="L51" s="119"/>
      <c r="M51" s="119"/>
      <c r="N51" s="119"/>
      <c r="O51" s="119"/>
      <c r="P51" s="100"/>
      <c r="Q51" s="100"/>
      <c r="R51" s="100"/>
      <c r="S51" s="111"/>
    </row>
    <row r="52" spans="1:19" s="31" customFormat="1" ht="18" x14ac:dyDescent="0.2">
      <c r="A52" s="47"/>
      <c r="B52" s="72"/>
      <c r="C52" s="50"/>
      <c r="D52" s="100"/>
      <c r="E52" s="100"/>
      <c r="F52" s="100"/>
      <c r="G52" s="100"/>
      <c r="H52" s="100"/>
      <c r="I52" s="100"/>
      <c r="J52" s="100"/>
      <c r="K52" s="100"/>
      <c r="L52" s="100"/>
      <c r="M52" s="100"/>
      <c r="N52" s="100"/>
      <c r="O52" s="100"/>
      <c r="P52" s="100"/>
      <c r="Q52" s="100"/>
      <c r="R52" s="100"/>
      <c r="S52" s="111"/>
    </row>
    <row r="53" spans="1:19" s="31" customFormat="1" ht="18" x14ac:dyDescent="0.2">
      <c r="A53" s="47" t="s">
        <v>802</v>
      </c>
      <c r="B53" s="73"/>
      <c r="C53" s="34"/>
      <c r="D53" s="101"/>
      <c r="E53" s="101"/>
      <c r="F53" s="101"/>
      <c r="G53" s="101"/>
      <c r="H53" s="101"/>
      <c r="I53" s="101"/>
      <c r="J53" s="101"/>
      <c r="K53" s="101"/>
      <c r="L53" s="101"/>
      <c r="M53" s="101"/>
      <c r="N53" s="101"/>
      <c r="O53" s="101"/>
      <c r="P53" s="101"/>
      <c r="Q53" s="101"/>
      <c r="R53" s="101"/>
      <c r="S53" s="111"/>
    </row>
    <row r="54" spans="1:19" x14ac:dyDescent="0.2">
      <c r="A54" s="1"/>
      <c r="B54" s="34" t="s">
        <v>733</v>
      </c>
      <c r="C54" s="3"/>
      <c r="S54" s="182"/>
    </row>
    <row r="55" spans="1:19" x14ac:dyDescent="0.2">
      <c r="A55" s="36"/>
      <c r="B55" s="67" t="str">
        <f>'Expenses Summary'!B8</f>
        <v>1100</v>
      </c>
      <c r="C55" s="67" t="str">
        <f>'Expenses Summary'!C8</f>
        <v>Teachers'  Salaries</v>
      </c>
      <c r="D55" s="112">
        <f>'Cash Flow %s Yr2'!D55</f>
        <v>8.3000000000000004E-2</v>
      </c>
      <c r="E55" s="112">
        <f>'Cash Flow %s Yr2'!E55</f>
        <v>8.3000000000000004E-2</v>
      </c>
      <c r="F55" s="112">
        <f>'Cash Flow %s Yr2'!F55</f>
        <v>8.3000000000000004E-2</v>
      </c>
      <c r="G55" s="112">
        <f>'Cash Flow %s Yr2'!G55</f>
        <v>8.3000000000000004E-2</v>
      </c>
      <c r="H55" s="112">
        <f>'Cash Flow %s Yr2'!H55</f>
        <v>8.3000000000000004E-2</v>
      </c>
      <c r="I55" s="112">
        <f>'Cash Flow %s Yr2'!I55</f>
        <v>8.3000000000000004E-2</v>
      </c>
      <c r="J55" s="112">
        <f>'Cash Flow %s Yr2'!J55</f>
        <v>8.3000000000000004E-2</v>
      </c>
      <c r="K55" s="112">
        <f>'Cash Flow %s Yr2'!K55</f>
        <v>8.3000000000000004E-2</v>
      </c>
      <c r="L55" s="112">
        <f>'Cash Flow %s Yr2'!L55</f>
        <v>8.4000000000000005E-2</v>
      </c>
      <c r="M55" s="112">
        <f>'Cash Flow %s Yr2'!M55</f>
        <v>8.4000000000000005E-2</v>
      </c>
      <c r="N55" s="112">
        <f>'Cash Flow %s Yr2'!N55</f>
        <v>8.4000000000000005E-2</v>
      </c>
      <c r="O55" s="112">
        <f>'Cash Flow %s Yr2'!O55</f>
        <v>8.4000000000000005E-2</v>
      </c>
      <c r="P55" s="112">
        <f>'Cash Flow %s Yr2'!P55</f>
        <v>0</v>
      </c>
      <c r="Q55" s="112">
        <f>'Cash Flow %s Yr2'!Q55</f>
        <v>0</v>
      </c>
      <c r="R55" s="112">
        <f>'Cash Flow %s Yr2'!R55</f>
        <v>0</v>
      </c>
      <c r="S55" s="111">
        <f t="shared" ref="S55:S62" si="4">SUM(D55:R55)</f>
        <v>0.99999999999999989</v>
      </c>
    </row>
    <row r="56" spans="1:19" x14ac:dyDescent="0.2">
      <c r="A56" s="36"/>
      <c r="B56" s="67" t="str">
        <f>'Expenses Summary'!B9</f>
        <v>1105</v>
      </c>
      <c r="C56" s="67" t="str">
        <f>'Expenses Summary'!C9</f>
        <v>Teachers'  Bonuses</v>
      </c>
      <c r="D56" s="112">
        <f>'Cash Flow %s Yr2'!D56</f>
        <v>0</v>
      </c>
      <c r="E56" s="112">
        <f>'Cash Flow %s Yr2'!E56</f>
        <v>0</v>
      </c>
      <c r="F56" s="112">
        <f>'Cash Flow %s Yr2'!F56</f>
        <v>0</v>
      </c>
      <c r="G56" s="112">
        <f>'Cash Flow %s Yr2'!G56</f>
        <v>0</v>
      </c>
      <c r="H56" s="112">
        <f>'Cash Flow %s Yr2'!H56</f>
        <v>0</v>
      </c>
      <c r="I56" s="112">
        <f>'Cash Flow %s Yr2'!I56</f>
        <v>1</v>
      </c>
      <c r="J56" s="112">
        <f>'Cash Flow %s Yr2'!J56</f>
        <v>0</v>
      </c>
      <c r="K56" s="112">
        <f>'Cash Flow %s Yr2'!K56</f>
        <v>0</v>
      </c>
      <c r="L56" s="112">
        <f>'Cash Flow %s Yr2'!L56</f>
        <v>0</v>
      </c>
      <c r="M56" s="112">
        <f>'Cash Flow %s Yr2'!M56</f>
        <v>0</v>
      </c>
      <c r="N56" s="112">
        <f>'Cash Flow %s Yr2'!N56</f>
        <v>0</v>
      </c>
      <c r="O56" s="112">
        <f>'Cash Flow %s Yr2'!O56</f>
        <v>0</v>
      </c>
      <c r="P56" s="112">
        <f>'Cash Flow %s Yr2'!P56</f>
        <v>0</v>
      </c>
      <c r="Q56" s="112">
        <f>'Cash Flow %s Yr2'!Q56</f>
        <v>0</v>
      </c>
      <c r="R56" s="112">
        <f>'Cash Flow %s Yr2'!R56</f>
        <v>0</v>
      </c>
      <c r="S56" s="111">
        <f t="shared" si="4"/>
        <v>1</v>
      </c>
    </row>
    <row r="57" spans="1:19" x14ac:dyDescent="0.2">
      <c r="A57" s="36"/>
      <c r="B57" s="67" t="str">
        <f>'Expenses Summary'!B10</f>
        <v>1120</v>
      </c>
      <c r="C57" s="67" t="str">
        <f>'Expenses Summary'!C10</f>
        <v>Substitute Expense</v>
      </c>
      <c r="D57" s="112">
        <f>'Cash Flow %s Yr2'!D57</f>
        <v>0</v>
      </c>
      <c r="E57" s="112">
        <f>'Cash Flow %s Yr2'!E57</f>
        <v>0</v>
      </c>
      <c r="F57" s="112">
        <f>'Cash Flow %s Yr2'!F57</f>
        <v>0.1</v>
      </c>
      <c r="G57" s="112">
        <f>'Cash Flow %s Yr2'!G57</f>
        <v>0.1</v>
      </c>
      <c r="H57" s="112">
        <f>'Cash Flow %s Yr2'!H57</f>
        <v>0.1</v>
      </c>
      <c r="I57" s="112">
        <f>'Cash Flow %s Yr2'!I57</f>
        <v>0.1</v>
      </c>
      <c r="J57" s="112">
        <f>'Cash Flow %s Yr2'!J57</f>
        <v>0.1</v>
      </c>
      <c r="K57" s="112">
        <f>'Cash Flow %s Yr2'!K57</f>
        <v>0.1</v>
      </c>
      <c r="L57" s="112">
        <f>'Cash Flow %s Yr2'!L57</f>
        <v>0.1</v>
      </c>
      <c r="M57" s="112">
        <f>'Cash Flow %s Yr2'!M57</f>
        <v>0.1</v>
      </c>
      <c r="N57" s="112">
        <f>'Cash Flow %s Yr2'!N57</f>
        <v>0.1</v>
      </c>
      <c r="O57" s="112">
        <f>'Cash Flow %s Yr2'!O57</f>
        <v>0.1</v>
      </c>
      <c r="P57" s="112">
        <f>'Cash Flow %s Yr2'!P57</f>
        <v>0</v>
      </c>
      <c r="Q57" s="112">
        <f>'Cash Flow %s Yr2'!Q57</f>
        <v>0</v>
      </c>
      <c r="R57" s="112">
        <f>'Cash Flow %s Yr2'!R57</f>
        <v>0</v>
      </c>
      <c r="S57" s="111">
        <f t="shared" si="4"/>
        <v>0.99999999999999989</v>
      </c>
    </row>
    <row r="58" spans="1:19" x14ac:dyDescent="0.2">
      <c r="A58" s="36"/>
      <c r="B58" s="67" t="str">
        <f>'Expenses Summary'!B11</f>
        <v>1200</v>
      </c>
      <c r="C58" s="67" t="str">
        <f>'Expenses Summary'!C11</f>
        <v>Certificated Pupil Support Salaries</v>
      </c>
      <c r="D58" s="112">
        <f>'Cash Flow %s Yr2'!D58</f>
        <v>0</v>
      </c>
      <c r="E58" s="112">
        <f>'Cash Flow %s Yr2'!E58</f>
        <v>0</v>
      </c>
      <c r="F58" s="112">
        <f>'Cash Flow %s Yr2'!F58</f>
        <v>0.1</v>
      </c>
      <c r="G58" s="112">
        <f>'Cash Flow %s Yr2'!G58</f>
        <v>0.1</v>
      </c>
      <c r="H58" s="112">
        <f>'Cash Flow %s Yr2'!H58</f>
        <v>0.1</v>
      </c>
      <c r="I58" s="112">
        <f>'Cash Flow %s Yr2'!I58</f>
        <v>0.1</v>
      </c>
      <c r="J58" s="112">
        <f>'Cash Flow %s Yr2'!J58</f>
        <v>0.1</v>
      </c>
      <c r="K58" s="112">
        <f>'Cash Flow %s Yr2'!K58</f>
        <v>0.1</v>
      </c>
      <c r="L58" s="112">
        <f>'Cash Flow %s Yr2'!L58</f>
        <v>0.1</v>
      </c>
      <c r="M58" s="112">
        <f>'Cash Flow %s Yr2'!M58</f>
        <v>0.1</v>
      </c>
      <c r="N58" s="112">
        <f>'Cash Flow %s Yr2'!N58</f>
        <v>0.1</v>
      </c>
      <c r="O58" s="112">
        <f>'Cash Flow %s Yr2'!O58</f>
        <v>0.1</v>
      </c>
      <c r="P58" s="112">
        <f>'Cash Flow %s Yr2'!P58</f>
        <v>0</v>
      </c>
      <c r="Q58" s="112">
        <f>'Cash Flow %s Yr2'!Q58</f>
        <v>0</v>
      </c>
      <c r="R58" s="112">
        <f>'Cash Flow %s Yr2'!R58</f>
        <v>0</v>
      </c>
      <c r="S58" s="111">
        <f t="shared" si="4"/>
        <v>0.99999999999999989</v>
      </c>
    </row>
    <row r="59" spans="1:19" x14ac:dyDescent="0.2">
      <c r="A59" s="36"/>
      <c r="B59" s="67" t="str">
        <f>'Expenses Summary'!B13</f>
        <v>1300</v>
      </c>
      <c r="C59" s="67" t="str">
        <f>'Expenses Summary'!C13</f>
        <v>Certificated Supervisor and Administrator Salaries</v>
      </c>
      <c r="D59" s="112">
        <f>'Cash Flow %s Yr2'!D59</f>
        <v>8.3000000000000004E-2</v>
      </c>
      <c r="E59" s="112">
        <f>'Cash Flow %s Yr2'!E59</f>
        <v>8.3000000000000004E-2</v>
      </c>
      <c r="F59" s="112">
        <f>'Cash Flow %s Yr2'!F59</f>
        <v>8.3000000000000004E-2</v>
      </c>
      <c r="G59" s="112">
        <f>'Cash Flow %s Yr2'!G59</f>
        <v>8.3000000000000004E-2</v>
      </c>
      <c r="H59" s="112">
        <f>'Cash Flow %s Yr2'!H59</f>
        <v>8.3000000000000004E-2</v>
      </c>
      <c r="I59" s="112">
        <f>'Cash Flow %s Yr2'!I59</f>
        <v>8.3000000000000004E-2</v>
      </c>
      <c r="J59" s="112">
        <f>'Cash Flow %s Yr2'!J59</f>
        <v>8.3000000000000004E-2</v>
      </c>
      <c r="K59" s="112">
        <f>'Cash Flow %s Yr2'!K59</f>
        <v>8.3000000000000004E-2</v>
      </c>
      <c r="L59" s="112">
        <f>'Cash Flow %s Yr2'!L59</f>
        <v>8.4000000000000005E-2</v>
      </c>
      <c r="M59" s="112">
        <f>'Cash Flow %s Yr2'!M59</f>
        <v>8.4000000000000005E-2</v>
      </c>
      <c r="N59" s="112">
        <f>'Cash Flow %s Yr2'!N59</f>
        <v>8.4000000000000005E-2</v>
      </c>
      <c r="O59" s="112">
        <f>'Cash Flow %s Yr2'!O59</f>
        <v>8.4000000000000005E-2</v>
      </c>
      <c r="P59" s="112">
        <f>'Cash Flow %s Yr2'!P59</f>
        <v>0</v>
      </c>
      <c r="Q59" s="112">
        <f>'Cash Flow %s Yr2'!Q59</f>
        <v>0</v>
      </c>
      <c r="R59" s="112">
        <f>'Cash Flow %s Yr2'!R59</f>
        <v>0</v>
      </c>
      <c r="S59" s="111">
        <f t="shared" si="4"/>
        <v>0.99999999999999989</v>
      </c>
    </row>
    <row r="60" spans="1:19" x14ac:dyDescent="0.2">
      <c r="A60" s="36"/>
      <c r="B60" s="67" t="str">
        <f>'Expenses Summary'!B14</f>
        <v>1305</v>
      </c>
      <c r="C60" s="67" t="str">
        <f>'Expenses Summary'!C14</f>
        <v>Certificated Supervisor and Administrator Bonuses</v>
      </c>
      <c r="D60" s="112">
        <f>'Cash Flow %s Yr2'!D60</f>
        <v>0</v>
      </c>
      <c r="E60" s="112">
        <f>'Cash Flow %s Yr2'!E60</f>
        <v>0</v>
      </c>
      <c r="F60" s="112">
        <f>'Cash Flow %s Yr2'!F60</f>
        <v>0</v>
      </c>
      <c r="G60" s="112">
        <f>'Cash Flow %s Yr2'!G60</f>
        <v>0</v>
      </c>
      <c r="H60" s="112">
        <f>'Cash Flow %s Yr2'!H60</f>
        <v>0</v>
      </c>
      <c r="I60" s="112">
        <f>'Cash Flow %s Yr2'!I60</f>
        <v>1</v>
      </c>
      <c r="J60" s="112">
        <f>'Cash Flow %s Yr2'!J60</f>
        <v>0</v>
      </c>
      <c r="K60" s="112">
        <f>'Cash Flow %s Yr2'!K60</f>
        <v>0</v>
      </c>
      <c r="L60" s="112">
        <f>'Cash Flow %s Yr2'!L60</f>
        <v>0</v>
      </c>
      <c r="M60" s="112">
        <f>'Cash Flow %s Yr2'!M60</f>
        <v>0</v>
      </c>
      <c r="N60" s="112">
        <f>'Cash Flow %s Yr2'!N60</f>
        <v>0</v>
      </c>
      <c r="O60" s="112">
        <f>'Cash Flow %s Yr2'!O60</f>
        <v>0</v>
      </c>
      <c r="P60" s="112">
        <f>'Cash Flow %s Yr2'!P60</f>
        <v>0</v>
      </c>
      <c r="Q60" s="112">
        <f>'Cash Flow %s Yr2'!Q60</f>
        <v>0</v>
      </c>
      <c r="R60" s="112">
        <f>'Cash Flow %s Yr2'!R60</f>
        <v>0</v>
      </c>
      <c r="S60" s="111">
        <f t="shared" si="4"/>
        <v>1</v>
      </c>
    </row>
    <row r="61" spans="1:19" x14ac:dyDescent="0.2">
      <c r="A61" s="36"/>
      <c r="B61" s="67" t="str">
        <f>'Expenses Summary'!B15</f>
        <v>1900</v>
      </c>
      <c r="C61" s="67" t="str">
        <f>'Expenses Summary'!C15</f>
        <v>Other Certificated Salaries</v>
      </c>
      <c r="D61" s="112">
        <f>'Cash Flow %s Yr2'!D61</f>
        <v>0</v>
      </c>
      <c r="E61" s="112">
        <f>'Cash Flow %s Yr2'!E61</f>
        <v>9.1666666666666702E-2</v>
      </c>
      <c r="F61" s="112">
        <f>'Cash Flow %s Yr2'!F61</f>
        <v>9.1666666666666702E-2</v>
      </c>
      <c r="G61" s="112">
        <f>'Cash Flow %s Yr2'!G61</f>
        <v>9.1666666666666702E-2</v>
      </c>
      <c r="H61" s="112">
        <f>'Cash Flow %s Yr2'!H61</f>
        <v>9.1666666666666702E-2</v>
      </c>
      <c r="I61" s="112">
        <f>'Cash Flow %s Yr2'!I61</f>
        <v>9.1666666666666702E-2</v>
      </c>
      <c r="J61" s="112">
        <f>'Cash Flow %s Yr2'!J61</f>
        <v>9.1666666666666702E-2</v>
      </c>
      <c r="K61" s="112">
        <f>'Cash Flow %s Yr2'!K61</f>
        <v>9.1666666666666702E-2</v>
      </c>
      <c r="L61" s="112">
        <f>'Cash Flow %s Yr2'!L61</f>
        <v>9.1666666666666702E-2</v>
      </c>
      <c r="M61" s="112">
        <f>'Cash Flow %s Yr2'!M61</f>
        <v>9.1666666666666702E-2</v>
      </c>
      <c r="N61" s="112">
        <f>'Cash Flow %s Yr2'!N61</f>
        <v>9.1666666666666702E-2</v>
      </c>
      <c r="O61" s="112">
        <f>'Cash Flow %s Yr2'!O61</f>
        <v>8.3333333332999998E-2</v>
      </c>
      <c r="P61" s="112">
        <f>'Cash Flow %s Yr2'!P61</f>
        <v>0</v>
      </c>
      <c r="Q61" s="112">
        <f>'Cash Flow %s Yr2'!Q61</f>
        <v>0</v>
      </c>
      <c r="R61" s="112">
        <f>'Cash Flow %s Yr2'!R61</f>
        <v>0</v>
      </c>
      <c r="S61" s="111">
        <f t="shared" si="4"/>
        <v>0.99999999999966682</v>
      </c>
    </row>
    <row r="62" spans="1:19" x14ac:dyDescent="0.2">
      <c r="A62" s="36"/>
      <c r="B62" s="67" t="str">
        <f>'Expenses Summary'!B16</f>
        <v>1910</v>
      </c>
      <c r="C62" s="67" t="str">
        <f>'Expenses Summary'!C16</f>
        <v>Other Certificated Overtime</v>
      </c>
      <c r="D62" s="112">
        <f>'Cash Flow %s Yr2'!D62</f>
        <v>0</v>
      </c>
      <c r="E62" s="112">
        <f>'Cash Flow %s Yr2'!E62</f>
        <v>9.1666666666666702E-2</v>
      </c>
      <c r="F62" s="112">
        <f>'Cash Flow %s Yr2'!F62</f>
        <v>9.1666666666666702E-2</v>
      </c>
      <c r="G62" s="112">
        <f>'Cash Flow %s Yr2'!G62</f>
        <v>9.1666666666666702E-2</v>
      </c>
      <c r="H62" s="112">
        <f>'Cash Flow %s Yr2'!H62</f>
        <v>9.1666666666666702E-2</v>
      </c>
      <c r="I62" s="112">
        <f>'Cash Flow %s Yr2'!I62</f>
        <v>9.1666666666666702E-2</v>
      </c>
      <c r="J62" s="112">
        <f>'Cash Flow %s Yr2'!J62</f>
        <v>9.1666666666666702E-2</v>
      </c>
      <c r="K62" s="112">
        <f>'Cash Flow %s Yr2'!K62</f>
        <v>9.1666666666666702E-2</v>
      </c>
      <c r="L62" s="112">
        <f>'Cash Flow %s Yr2'!L62</f>
        <v>9.1666666666666702E-2</v>
      </c>
      <c r="M62" s="112">
        <f>'Cash Flow %s Yr2'!M62</f>
        <v>9.1666666666666702E-2</v>
      </c>
      <c r="N62" s="112">
        <f>'Cash Flow %s Yr2'!N62</f>
        <v>9.1666666666666702E-2</v>
      </c>
      <c r="O62" s="112">
        <f>'Cash Flow %s Yr2'!O62</f>
        <v>8.3333333332999998E-2</v>
      </c>
      <c r="P62" s="112">
        <f>'Cash Flow %s Yr2'!P62</f>
        <v>0</v>
      </c>
      <c r="Q62" s="112">
        <f>'Cash Flow %s Yr2'!Q62</f>
        <v>0</v>
      </c>
      <c r="R62" s="112">
        <f>'Cash Flow %s Yr2'!R62</f>
        <v>0</v>
      </c>
      <c r="S62" s="111">
        <f t="shared" si="4"/>
        <v>0.99999999999966682</v>
      </c>
    </row>
    <row r="63" spans="1:19" x14ac:dyDescent="0.2">
      <c r="A63" s="36"/>
      <c r="B63" s="88"/>
      <c r="C63" s="93"/>
      <c r="D63" s="100"/>
      <c r="E63" s="100"/>
      <c r="F63" s="119"/>
      <c r="G63" s="119"/>
      <c r="H63" s="119"/>
      <c r="I63" s="119"/>
      <c r="J63" s="119"/>
      <c r="K63" s="119"/>
      <c r="L63" s="119"/>
      <c r="M63" s="119"/>
      <c r="N63" s="119"/>
      <c r="O63" s="119"/>
      <c r="P63" s="100"/>
      <c r="Q63" s="100"/>
      <c r="R63" s="100"/>
      <c r="S63" s="111"/>
    </row>
    <row r="64" spans="1:19" s="31" customFormat="1" x14ac:dyDescent="0.2">
      <c r="A64" s="36"/>
      <c r="B64" s="40"/>
      <c r="C64" s="3"/>
      <c r="D64" s="102"/>
      <c r="E64" s="102"/>
      <c r="F64" s="102"/>
      <c r="G64" s="102"/>
      <c r="H64" s="102"/>
      <c r="I64" s="102"/>
      <c r="J64" s="102"/>
      <c r="K64" s="102"/>
      <c r="L64" s="102"/>
      <c r="M64" s="102"/>
      <c r="N64" s="102"/>
      <c r="O64" s="102"/>
      <c r="P64" s="102"/>
      <c r="Q64" s="102"/>
      <c r="R64" s="102"/>
      <c r="S64" s="111"/>
    </row>
    <row r="65" spans="1:19" s="31" customFormat="1" x14ac:dyDescent="0.2">
      <c r="B65" s="5" t="s">
        <v>734</v>
      </c>
      <c r="C65" s="3"/>
      <c r="D65" s="102"/>
      <c r="E65" s="102"/>
      <c r="F65" s="102"/>
      <c r="G65" s="102"/>
      <c r="H65" s="102"/>
      <c r="I65" s="102"/>
      <c r="J65" s="102"/>
      <c r="K65" s="102"/>
      <c r="L65" s="102"/>
      <c r="M65" s="102"/>
      <c r="N65" s="102"/>
      <c r="O65" s="102"/>
      <c r="P65" s="102"/>
      <c r="Q65" s="102"/>
      <c r="R65" s="102"/>
      <c r="S65" s="111"/>
    </row>
    <row r="66" spans="1:19" s="31" customFormat="1" x14ac:dyDescent="0.2">
      <c r="A66" s="36"/>
      <c r="B66" s="67" t="str">
        <f>'Expenses Summary'!B20</f>
        <v>2100</v>
      </c>
      <c r="C66" s="67" t="str">
        <f>'Expenses Summary'!C20</f>
        <v>Instructional Aide Salaries</v>
      </c>
      <c r="D66" s="112">
        <f>'Cash Flow %s Yr2'!D66</f>
        <v>0</v>
      </c>
      <c r="E66" s="112">
        <f>'Cash Flow %s Yr2'!E66</f>
        <v>0</v>
      </c>
      <c r="F66" s="112">
        <f>'Cash Flow %s Yr2'!F66</f>
        <v>0.1</v>
      </c>
      <c r="G66" s="112">
        <f>'Cash Flow %s Yr2'!G66</f>
        <v>0.1</v>
      </c>
      <c r="H66" s="112">
        <f>'Cash Flow %s Yr2'!H66</f>
        <v>0.1</v>
      </c>
      <c r="I66" s="112">
        <f>'Cash Flow %s Yr2'!I66</f>
        <v>0.1</v>
      </c>
      <c r="J66" s="112">
        <f>'Cash Flow %s Yr2'!J66</f>
        <v>0.1</v>
      </c>
      <c r="K66" s="112">
        <f>'Cash Flow %s Yr2'!K66</f>
        <v>0.1</v>
      </c>
      <c r="L66" s="112">
        <f>'Cash Flow %s Yr2'!L66</f>
        <v>0.1</v>
      </c>
      <c r="M66" s="112">
        <f>'Cash Flow %s Yr2'!M66</f>
        <v>0.1</v>
      </c>
      <c r="N66" s="112">
        <f>'Cash Flow %s Yr2'!N66</f>
        <v>0.1</v>
      </c>
      <c r="O66" s="112">
        <f>'Cash Flow %s Yr2'!O66</f>
        <v>0.1</v>
      </c>
      <c r="P66" s="112">
        <f>'Cash Flow %s Yr2'!P66</f>
        <v>0</v>
      </c>
      <c r="Q66" s="112">
        <f>'Cash Flow %s Yr2'!Q66</f>
        <v>0</v>
      </c>
      <c r="R66" s="112">
        <f>'Cash Flow %s Yr2'!R66</f>
        <v>0</v>
      </c>
      <c r="S66" s="111">
        <f t="shared" ref="S66:S75" si="5">SUM(D66:R66)</f>
        <v>0.99999999999999989</v>
      </c>
    </row>
    <row r="67" spans="1:19" s="31" customFormat="1" x14ac:dyDescent="0.2">
      <c r="A67" s="36"/>
      <c r="B67" s="67" t="str">
        <f>'Expenses Summary'!B21</f>
        <v>2110</v>
      </c>
      <c r="C67" s="67" t="str">
        <f>'Expenses Summary'!C21</f>
        <v>Instructional Aide Overtime</v>
      </c>
      <c r="D67" s="112">
        <f>'Cash Flow %s Yr2'!D67</f>
        <v>0</v>
      </c>
      <c r="E67" s="112">
        <f>'Cash Flow %s Yr2'!E67</f>
        <v>0</v>
      </c>
      <c r="F67" s="112">
        <f>'Cash Flow %s Yr2'!F67</f>
        <v>0.1</v>
      </c>
      <c r="G67" s="112">
        <f>'Cash Flow %s Yr2'!G67</f>
        <v>0.1</v>
      </c>
      <c r="H67" s="112">
        <f>'Cash Flow %s Yr2'!H67</f>
        <v>0.1</v>
      </c>
      <c r="I67" s="112">
        <f>'Cash Flow %s Yr2'!I67</f>
        <v>0.1</v>
      </c>
      <c r="J67" s="112">
        <f>'Cash Flow %s Yr2'!J67</f>
        <v>0.1</v>
      </c>
      <c r="K67" s="112">
        <f>'Cash Flow %s Yr2'!K67</f>
        <v>0.1</v>
      </c>
      <c r="L67" s="112">
        <f>'Cash Flow %s Yr2'!L67</f>
        <v>0.1</v>
      </c>
      <c r="M67" s="112">
        <f>'Cash Flow %s Yr2'!M67</f>
        <v>0.1</v>
      </c>
      <c r="N67" s="112">
        <f>'Cash Flow %s Yr2'!N67</f>
        <v>0.1</v>
      </c>
      <c r="O67" s="112">
        <f>'Cash Flow %s Yr2'!O67</f>
        <v>0.1</v>
      </c>
      <c r="P67" s="112">
        <f>'Cash Flow %s Yr2'!P67</f>
        <v>0</v>
      </c>
      <c r="Q67" s="112">
        <f>'Cash Flow %s Yr2'!Q67</f>
        <v>0</v>
      </c>
      <c r="R67" s="112">
        <f>'Cash Flow %s Yr2'!R67</f>
        <v>0</v>
      </c>
      <c r="S67" s="111">
        <f t="shared" si="5"/>
        <v>0.99999999999999989</v>
      </c>
    </row>
    <row r="68" spans="1:19" s="31" customFormat="1" x14ac:dyDescent="0.2">
      <c r="A68" s="36"/>
      <c r="B68" s="67" t="str">
        <f>'Expenses Summary'!B22</f>
        <v>2200</v>
      </c>
      <c r="C68" s="67" t="str">
        <f>'Expenses Summary'!C22</f>
        <v>Classified Support Salaries</v>
      </c>
      <c r="D68" s="112">
        <f>'Cash Flow %s Yr2'!D68</f>
        <v>0</v>
      </c>
      <c r="E68" s="112">
        <f>'Cash Flow %s Yr2'!E68</f>
        <v>0</v>
      </c>
      <c r="F68" s="112">
        <f>'Cash Flow %s Yr2'!F68</f>
        <v>0.1</v>
      </c>
      <c r="G68" s="112">
        <f>'Cash Flow %s Yr2'!G68</f>
        <v>0.1</v>
      </c>
      <c r="H68" s="112">
        <f>'Cash Flow %s Yr2'!H68</f>
        <v>0.1</v>
      </c>
      <c r="I68" s="112">
        <f>'Cash Flow %s Yr2'!I68</f>
        <v>0.1</v>
      </c>
      <c r="J68" s="112">
        <f>'Cash Flow %s Yr2'!J68</f>
        <v>0.1</v>
      </c>
      <c r="K68" s="112">
        <f>'Cash Flow %s Yr2'!K68</f>
        <v>0.1</v>
      </c>
      <c r="L68" s="112">
        <f>'Cash Flow %s Yr2'!L68</f>
        <v>0.1</v>
      </c>
      <c r="M68" s="112">
        <f>'Cash Flow %s Yr2'!M68</f>
        <v>0.1</v>
      </c>
      <c r="N68" s="112">
        <f>'Cash Flow %s Yr2'!N68</f>
        <v>0.1</v>
      </c>
      <c r="O68" s="112">
        <f>'Cash Flow %s Yr2'!O68</f>
        <v>0.1</v>
      </c>
      <c r="P68" s="112">
        <f>'Cash Flow %s Yr2'!P68</f>
        <v>0</v>
      </c>
      <c r="Q68" s="112">
        <f>'Cash Flow %s Yr2'!Q68</f>
        <v>0</v>
      </c>
      <c r="R68" s="112">
        <f>'Cash Flow %s Yr2'!R68</f>
        <v>0</v>
      </c>
      <c r="S68" s="111">
        <f t="shared" si="5"/>
        <v>0.99999999999999989</v>
      </c>
    </row>
    <row r="69" spans="1:19" s="31" customFormat="1" x14ac:dyDescent="0.2">
      <c r="A69" s="36"/>
      <c r="B69" s="67" t="str">
        <f>'Expenses Summary'!B23</f>
        <v>2210</v>
      </c>
      <c r="C69" s="67" t="str">
        <f>'Expenses Summary'!C23</f>
        <v>Classified Support Overtime</v>
      </c>
      <c r="D69" s="112">
        <f>'Cash Flow %s Yr2'!D69</f>
        <v>0</v>
      </c>
      <c r="E69" s="112">
        <f>'Cash Flow %s Yr2'!E69</f>
        <v>0</v>
      </c>
      <c r="F69" s="112">
        <f>'Cash Flow %s Yr2'!F69</f>
        <v>0.1</v>
      </c>
      <c r="G69" s="112">
        <f>'Cash Flow %s Yr2'!G69</f>
        <v>0.1</v>
      </c>
      <c r="H69" s="112">
        <f>'Cash Flow %s Yr2'!H69</f>
        <v>0.1</v>
      </c>
      <c r="I69" s="112">
        <f>'Cash Flow %s Yr2'!I69</f>
        <v>0.1</v>
      </c>
      <c r="J69" s="112">
        <f>'Cash Flow %s Yr2'!J69</f>
        <v>0.1</v>
      </c>
      <c r="K69" s="112">
        <f>'Cash Flow %s Yr2'!K69</f>
        <v>0.1</v>
      </c>
      <c r="L69" s="112">
        <f>'Cash Flow %s Yr2'!L69</f>
        <v>0.1</v>
      </c>
      <c r="M69" s="112">
        <f>'Cash Flow %s Yr2'!M69</f>
        <v>0.1</v>
      </c>
      <c r="N69" s="112">
        <f>'Cash Flow %s Yr2'!N69</f>
        <v>0.1</v>
      </c>
      <c r="O69" s="112">
        <f>'Cash Flow %s Yr2'!O69</f>
        <v>0.1</v>
      </c>
      <c r="P69" s="112">
        <f>'Cash Flow %s Yr2'!P69</f>
        <v>0</v>
      </c>
      <c r="Q69" s="112">
        <f>'Cash Flow %s Yr2'!Q69</f>
        <v>0</v>
      </c>
      <c r="R69" s="112">
        <f>'Cash Flow %s Yr2'!R69</f>
        <v>0</v>
      </c>
      <c r="S69" s="111">
        <f t="shared" si="5"/>
        <v>0.99999999999999989</v>
      </c>
    </row>
    <row r="70" spans="1:19" s="31" customFormat="1" x14ac:dyDescent="0.2">
      <c r="A70" s="36"/>
      <c r="B70" s="67" t="str">
        <f>'Expenses Summary'!B24</f>
        <v>2300</v>
      </c>
      <c r="C70" s="67" t="str">
        <f>'Expenses Summary'!C24</f>
        <v>Classified Supervisor and Administrator Salaries</v>
      </c>
      <c r="D70" s="112">
        <f>'Cash Flow %s Yr2'!D70</f>
        <v>0</v>
      </c>
      <c r="E70" s="112">
        <f>'Cash Flow %s Yr2'!E70</f>
        <v>0</v>
      </c>
      <c r="F70" s="112">
        <f>'Cash Flow %s Yr2'!F70</f>
        <v>0.1</v>
      </c>
      <c r="G70" s="112">
        <f>'Cash Flow %s Yr2'!G70</f>
        <v>0.1</v>
      </c>
      <c r="H70" s="112">
        <f>'Cash Flow %s Yr2'!H70</f>
        <v>0.1</v>
      </c>
      <c r="I70" s="112">
        <f>'Cash Flow %s Yr2'!I70</f>
        <v>0.1</v>
      </c>
      <c r="J70" s="112">
        <f>'Cash Flow %s Yr2'!J70</f>
        <v>0.1</v>
      </c>
      <c r="K70" s="112">
        <f>'Cash Flow %s Yr2'!K70</f>
        <v>0.1</v>
      </c>
      <c r="L70" s="112">
        <f>'Cash Flow %s Yr2'!L70</f>
        <v>0.1</v>
      </c>
      <c r="M70" s="112">
        <f>'Cash Flow %s Yr2'!M70</f>
        <v>0.1</v>
      </c>
      <c r="N70" s="112">
        <f>'Cash Flow %s Yr2'!N70</f>
        <v>0.1</v>
      </c>
      <c r="O70" s="112">
        <f>'Cash Flow %s Yr2'!O70</f>
        <v>0.1</v>
      </c>
      <c r="P70" s="112">
        <f>'Cash Flow %s Yr2'!P70</f>
        <v>0</v>
      </c>
      <c r="Q70" s="112">
        <f>'Cash Flow %s Yr2'!Q70</f>
        <v>0</v>
      </c>
      <c r="R70" s="112">
        <f>'Cash Flow %s Yr2'!R70</f>
        <v>0</v>
      </c>
      <c r="S70" s="111">
        <f t="shared" si="5"/>
        <v>0.99999999999999989</v>
      </c>
    </row>
    <row r="71" spans="1:19" s="31" customFormat="1" x14ac:dyDescent="0.2">
      <c r="A71" s="36"/>
      <c r="B71" s="67" t="str">
        <f>'Expenses Summary'!B25</f>
        <v>2400</v>
      </c>
      <c r="C71" s="67" t="str">
        <f>'Expenses Summary'!C25</f>
        <v>Clerical, Technical, and Office Staff Salaries</v>
      </c>
      <c r="D71" s="112">
        <f>'Cash Flow %s Yr2'!D71</f>
        <v>0</v>
      </c>
      <c r="E71" s="112">
        <f>'Cash Flow %s Yr2'!E71</f>
        <v>0</v>
      </c>
      <c r="F71" s="112">
        <f>'Cash Flow %s Yr2'!F71</f>
        <v>0.1</v>
      </c>
      <c r="G71" s="112">
        <f>'Cash Flow %s Yr2'!G71</f>
        <v>0.1</v>
      </c>
      <c r="H71" s="112">
        <f>'Cash Flow %s Yr2'!H71</f>
        <v>0.1</v>
      </c>
      <c r="I71" s="112">
        <f>'Cash Flow %s Yr2'!I71</f>
        <v>0.1</v>
      </c>
      <c r="J71" s="112">
        <f>'Cash Flow %s Yr2'!J71</f>
        <v>0.1</v>
      </c>
      <c r="K71" s="112">
        <f>'Cash Flow %s Yr2'!K71</f>
        <v>0.1</v>
      </c>
      <c r="L71" s="112">
        <f>'Cash Flow %s Yr2'!L71</f>
        <v>0.1</v>
      </c>
      <c r="M71" s="112">
        <f>'Cash Flow %s Yr2'!M71</f>
        <v>0.1</v>
      </c>
      <c r="N71" s="112">
        <f>'Cash Flow %s Yr2'!N71</f>
        <v>0.1</v>
      </c>
      <c r="O71" s="112">
        <f>'Cash Flow %s Yr2'!O71</f>
        <v>0.1</v>
      </c>
      <c r="P71" s="112">
        <f>'Cash Flow %s Yr2'!P71</f>
        <v>0</v>
      </c>
      <c r="Q71" s="112">
        <f>'Cash Flow %s Yr2'!Q71</f>
        <v>0</v>
      </c>
      <c r="R71" s="112">
        <f>'Cash Flow %s Yr2'!R71</f>
        <v>0</v>
      </c>
      <c r="S71" s="111">
        <f t="shared" si="5"/>
        <v>0.99999999999999989</v>
      </c>
    </row>
    <row r="72" spans="1:19" s="31" customFormat="1" x14ac:dyDescent="0.2">
      <c r="A72" s="36"/>
      <c r="B72" s="67" t="str">
        <f>'Expenses Summary'!B26</f>
        <v>2410</v>
      </c>
      <c r="C72" s="67" t="str">
        <f>'Expenses Summary'!C26</f>
        <v>Clerical, Technical, and Office Staff Overtime</v>
      </c>
      <c r="D72" s="112">
        <f>'Cash Flow %s Yr2'!D72</f>
        <v>0</v>
      </c>
      <c r="E72" s="112">
        <f>'Cash Flow %s Yr2'!E72</f>
        <v>0</v>
      </c>
      <c r="F72" s="112">
        <f>'Cash Flow %s Yr2'!F72</f>
        <v>0</v>
      </c>
      <c r="G72" s="112">
        <f>'Cash Flow %s Yr2'!G72</f>
        <v>0</v>
      </c>
      <c r="H72" s="112">
        <f>'Cash Flow %s Yr2'!H72</f>
        <v>0</v>
      </c>
      <c r="I72" s="112">
        <f>'Cash Flow %s Yr2'!I72</f>
        <v>1</v>
      </c>
      <c r="J72" s="112">
        <f>'Cash Flow %s Yr2'!J72</f>
        <v>0</v>
      </c>
      <c r="K72" s="112">
        <f>'Cash Flow %s Yr2'!K72</f>
        <v>0</v>
      </c>
      <c r="L72" s="112">
        <f>'Cash Flow %s Yr2'!L72</f>
        <v>0</v>
      </c>
      <c r="M72" s="112">
        <f>'Cash Flow %s Yr2'!M72</f>
        <v>0</v>
      </c>
      <c r="N72" s="112">
        <f>'Cash Flow %s Yr2'!N72</f>
        <v>0</v>
      </c>
      <c r="O72" s="112">
        <f>'Cash Flow %s Yr2'!O72</f>
        <v>0</v>
      </c>
      <c r="P72" s="112">
        <f>'Cash Flow %s Yr2'!P72</f>
        <v>0</v>
      </c>
      <c r="Q72" s="112">
        <f>'Cash Flow %s Yr2'!Q72</f>
        <v>0</v>
      </c>
      <c r="R72" s="112">
        <f>'Cash Flow %s Yr2'!R72</f>
        <v>0</v>
      </c>
      <c r="S72" s="111">
        <f t="shared" si="5"/>
        <v>1</v>
      </c>
    </row>
    <row r="73" spans="1:19" s="31" customFormat="1" x14ac:dyDescent="0.2">
      <c r="A73" s="36"/>
      <c r="B73" s="67" t="str">
        <f>'Expenses Summary'!B27</f>
        <v>2900</v>
      </c>
      <c r="C73" s="67" t="str">
        <f>'Expenses Summary'!C27</f>
        <v>Other Classified Salaries</v>
      </c>
      <c r="D73" s="112">
        <f>'Cash Flow %s Yr2'!D73</f>
        <v>0.1</v>
      </c>
      <c r="E73" s="112">
        <f>'Cash Flow %s Yr2'!E73</f>
        <v>0.1</v>
      </c>
      <c r="F73" s="112">
        <f>'Cash Flow %s Yr2'!F73</f>
        <v>0.1</v>
      </c>
      <c r="G73" s="112">
        <f>'Cash Flow %s Yr2'!G73</f>
        <v>0.1</v>
      </c>
      <c r="H73" s="112">
        <f>'Cash Flow %s Yr2'!H73</f>
        <v>0.1</v>
      </c>
      <c r="I73" s="112">
        <f>'Cash Flow %s Yr2'!I73</f>
        <v>0.1</v>
      </c>
      <c r="J73" s="112">
        <f>'Cash Flow %s Yr2'!J73</f>
        <v>0.1</v>
      </c>
      <c r="K73" s="112">
        <f>'Cash Flow %s Yr2'!K73</f>
        <v>0.1</v>
      </c>
      <c r="L73" s="112">
        <f>'Cash Flow %s Yr2'!L73</f>
        <v>0.1</v>
      </c>
      <c r="M73" s="112">
        <f>'Cash Flow %s Yr2'!M73</f>
        <v>0.1</v>
      </c>
      <c r="N73" s="112">
        <f>'Cash Flow %s Yr2'!N73</f>
        <v>0</v>
      </c>
      <c r="O73" s="112">
        <f>'Cash Flow %s Yr2'!O73</f>
        <v>0</v>
      </c>
      <c r="P73" s="112">
        <f>'Cash Flow %s Yr2'!P73</f>
        <v>0</v>
      </c>
      <c r="Q73" s="112">
        <f>'Cash Flow %s Yr2'!Q73</f>
        <v>0</v>
      </c>
      <c r="R73" s="112">
        <f>'Cash Flow %s Yr2'!R73</f>
        <v>0</v>
      </c>
      <c r="S73" s="111">
        <f t="shared" si="5"/>
        <v>0.99999999999999989</v>
      </c>
    </row>
    <row r="74" spans="1:19" s="31" customFormat="1" x14ac:dyDescent="0.2">
      <c r="A74" s="36"/>
      <c r="B74" s="67" t="str">
        <f>'Expenses Summary'!B28</f>
        <v>2905</v>
      </c>
      <c r="C74" s="67" t="str">
        <f>'Expenses Summary'!C28</f>
        <v>Other Stipends</v>
      </c>
      <c r="D74" s="112">
        <f>'Cash Flow %s Yr2'!D74</f>
        <v>0</v>
      </c>
      <c r="E74" s="112">
        <f>'Cash Flow %s Yr2'!E74</f>
        <v>0</v>
      </c>
      <c r="F74" s="112">
        <f>'Cash Flow %s Yr2'!F74</f>
        <v>0.1</v>
      </c>
      <c r="G74" s="112">
        <f>'Cash Flow %s Yr2'!G74</f>
        <v>0.1</v>
      </c>
      <c r="H74" s="112">
        <f>'Cash Flow %s Yr2'!H74</f>
        <v>0.1</v>
      </c>
      <c r="I74" s="112">
        <f>'Cash Flow %s Yr2'!I74</f>
        <v>0.1</v>
      </c>
      <c r="J74" s="112">
        <f>'Cash Flow %s Yr2'!J74</f>
        <v>0.1</v>
      </c>
      <c r="K74" s="112">
        <f>'Cash Flow %s Yr2'!K74</f>
        <v>0.1</v>
      </c>
      <c r="L74" s="112">
        <f>'Cash Flow %s Yr2'!L74</f>
        <v>0.1</v>
      </c>
      <c r="M74" s="112">
        <f>'Cash Flow %s Yr2'!M74</f>
        <v>0.1</v>
      </c>
      <c r="N74" s="112">
        <f>'Cash Flow %s Yr2'!N74</f>
        <v>0.1</v>
      </c>
      <c r="O74" s="112">
        <f>'Cash Flow %s Yr2'!O74</f>
        <v>0.1</v>
      </c>
      <c r="P74" s="112">
        <f>'Cash Flow %s Yr2'!P74</f>
        <v>0</v>
      </c>
      <c r="Q74" s="112">
        <f>'Cash Flow %s Yr2'!Q74</f>
        <v>0</v>
      </c>
      <c r="R74" s="112">
        <f>'Cash Flow %s Yr2'!R74</f>
        <v>0</v>
      </c>
      <c r="S74" s="111">
        <f t="shared" si="5"/>
        <v>0.99999999999999989</v>
      </c>
    </row>
    <row r="75" spans="1:19" s="31" customFormat="1" x14ac:dyDescent="0.2">
      <c r="A75" s="36"/>
      <c r="B75" s="67" t="str">
        <f>'Expenses Summary'!B29</f>
        <v>2910</v>
      </c>
      <c r="C75" s="67" t="str">
        <f>'Expenses Summary'!C29</f>
        <v>Other Classified Overtime</v>
      </c>
      <c r="D75" s="112">
        <f>'Cash Flow %s Yr2'!D75</f>
        <v>0</v>
      </c>
      <c r="E75" s="112">
        <f>'Cash Flow %s Yr2'!E75</f>
        <v>0</v>
      </c>
      <c r="F75" s="112">
        <f>'Cash Flow %s Yr2'!F75</f>
        <v>0.1</v>
      </c>
      <c r="G75" s="112">
        <f>'Cash Flow %s Yr2'!G75</f>
        <v>0.1</v>
      </c>
      <c r="H75" s="112">
        <f>'Cash Flow %s Yr2'!H75</f>
        <v>0.1</v>
      </c>
      <c r="I75" s="112">
        <f>'Cash Flow %s Yr2'!I75</f>
        <v>0.1</v>
      </c>
      <c r="J75" s="112">
        <f>'Cash Flow %s Yr2'!J75</f>
        <v>0.1</v>
      </c>
      <c r="K75" s="112">
        <f>'Cash Flow %s Yr2'!K75</f>
        <v>0.1</v>
      </c>
      <c r="L75" s="112">
        <f>'Cash Flow %s Yr2'!L75</f>
        <v>0.1</v>
      </c>
      <c r="M75" s="112">
        <f>'Cash Flow %s Yr2'!M75</f>
        <v>0.1</v>
      </c>
      <c r="N75" s="112">
        <f>'Cash Flow %s Yr2'!N75</f>
        <v>0.1</v>
      </c>
      <c r="O75" s="112">
        <f>'Cash Flow %s Yr2'!O75</f>
        <v>0.1</v>
      </c>
      <c r="P75" s="112">
        <f>'Cash Flow %s Yr2'!P75</f>
        <v>0</v>
      </c>
      <c r="Q75" s="112">
        <f>'Cash Flow %s Yr2'!Q75</f>
        <v>0</v>
      </c>
      <c r="R75" s="112">
        <f>'Cash Flow %s Yr2'!R75</f>
        <v>0</v>
      </c>
      <c r="S75" s="111">
        <f t="shared" si="5"/>
        <v>0.99999999999999989</v>
      </c>
    </row>
    <row r="76" spans="1:19" s="31" customFormat="1" x14ac:dyDescent="0.2">
      <c r="A76" s="36"/>
      <c r="B76" s="88"/>
      <c r="C76" s="93"/>
      <c r="D76" s="100"/>
      <c r="E76" s="100"/>
      <c r="F76" s="119"/>
      <c r="G76" s="119"/>
      <c r="H76" s="119"/>
      <c r="I76" s="119"/>
      <c r="J76" s="119"/>
      <c r="K76" s="119"/>
      <c r="L76" s="119"/>
      <c r="M76" s="119"/>
      <c r="N76" s="119"/>
      <c r="O76" s="119"/>
      <c r="P76" s="100"/>
      <c r="Q76" s="100"/>
      <c r="R76" s="100"/>
      <c r="S76" s="111"/>
    </row>
    <row r="77" spans="1:19" s="31" customFormat="1" x14ac:dyDescent="0.2">
      <c r="A77" s="36"/>
      <c r="B77" s="40"/>
      <c r="C77" s="3"/>
      <c r="D77" s="102"/>
      <c r="E77" s="102"/>
      <c r="F77" s="102"/>
      <c r="G77" s="102"/>
      <c r="H77" s="102"/>
      <c r="I77" s="102"/>
      <c r="J77" s="102"/>
      <c r="K77" s="102"/>
      <c r="L77" s="102"/>
      <c r="M77" s="102"/>
      <c r="N77" s="102"/>
      <c r="O77" s="102"/>
      <c r="P77" s="102"/>
      <c r="Q77" s="102"/>
      <c r="R77" s="102"/>
      <c r="S77" s="111"/>
    </row>
    <row r="78" spans="1:19" s="31" customFormat="1" x14ac:dyDescent="0.2">
      <c r="B78" s="34" t="s">
        <v>735</v>
      </c>
      <c r="C78" s="3"/>
      <c r="D78" s="102"/>
      <c r="E78" s="102"/>
      <c r="F78" s="102"/>
      <c r="G78" s="102"/>
      <c r="H78" s="102"/>
      <c r="I78" s="102"/>
      <c r="J78" s="102"/>
      <c r="K78" s="102"/>
      <c r="L78" s="102"/>
      <c r="M78" s="102"/>
      <c r="N78" s="102"/>
      <c r="O78" s="102"/>
      <c r="P78" s="102"/>
      <c r="Q78" s="102"/>
      <c r="R78" s="102"/>
      <c r="S78" s="111"/>
    </row>
    <row r="79" spans="1:19" s="31" customFormat="1" x14ac:dyDescent="0.2">
      <c r="A79" s="36"/>
      <c r="B79" s="67" t="str">
        <f>'Expenses Summary'!B33</f>
        <v>3101</v>
      </c>
      <c r="C79" s="67" t="str">
        <f>'Expenses Summary'!C33</f>
        <v>State Teachers' Retirement System, certificated positions</v>
      </c>
      <c r="D79" s="112">
        <f>'Cash Flow %s Yr2'!D79</f>
        <v>8.3000000000000004E-2</v>
      </c>
      <c r="E79" s="112">
        <f>'Cash Flow %s Yr2'!E79</f>
        <v>8.3000000000000004E-2</v>
      </c>
      <c r="F79" s="112">
        <f>'Cash Flow %s Yr2'!F79</f>
        <v>8.3000000000000004E-2</v>
      </c>
      <c r="G79" s="112">
        <f>'Cash Flow %s Yr2'!G79</f>
        <v>8.3000000000000004E-2</v>
      </c>
      <c r="H79" s="112">
        <f>'Cash Flow %s Yr2'!H79</f>
        <v>8.3000000000000004E-2</v>
      </c>
      <c r="I79" s="112">
        <f>'Cash Flow %s Yr2'!I79</f>
        <v>8.3000000000000004E-2</v>
      </c>
      <c r="J79" s="112">
        <f>'Cash Flow %s Yr2'!J79</f>
        <v>8.3000000000000004E-2</v>
      </c>
      <c r="K79" s="112">
        <f>'Cash Flow %s Yr2'!K79</f>
        <v>8.3000000000000004E-2</v>
      </c>
      <c r="L79" s="112">
        <f>'Cash Flow %s Yr2'!L79</f>
        <v>8.4000000000000005E-2</v>
      </c>
      <c r="M79" s="112">
        <f>'Cash Flow %s Yr2'!M79</f>
        <v>8.4000000000000005E-2</v>
      </c>
      <c r="N79" s="112">
        <f>'Cash Flow %s Yr2'!N79</f>
        <v>8.4000000000000005E-2</v>
      </c>
      <c r="O79" s="112">
        <f>'Cash Flow %s Yr2'!O79</f>
        <v>8.4000000000000005E-2</v>
      </c>
      <c r="P79" s="112">
        <f>'Cash Flow %s Yr2'!P79</f>
        <v>0</v>
      </c>
      <c r="Q79" s="112">
        <f>'Cash Flow %s Yr2'!Q79</f>
        <v>0</v>
      </c>
      <c r="R79" s="112">
        <f>'Cash Flow %s Yr2'!R79</f>
        <v>0</v>
      </c>
      <c r="S79" s="111">
        <f t="shared" ref="S79:S87" si="6">SUM(D79:R79)</f>
        <v>0.99999999999999989</v>
      </c>
    </row>
    <row r="80" spans="1:19" s="31" customFormat="1" x14ac:dyDescent="0.2">
      <c r="A80" s="36"/>
      <c r="B80" s="67" t="str">
        <f>'Expenses Summary'!B34</f>
        <v>3202</v>
      </c>
      <c r="C80" s="67" t="str">
        <f>'Expenses Summary'!C34</f>
        <v>Public Employees' Retirement System, classified positions</v>
      </c>
      <c r="D80" s="112">
        <f>'Cash Flow %s Yr2'!D80</f>
        <v>8.3000000000000004E-2</v>
      </c>
      <c r="E80" s="112">
        <f>'Cash Flow %s Yr2'!E80</f>
        <v>8.3000000000000004E-2</v>
      </c>
      <c r="F80" s="112">
        <f>'Cash Flow %s Yr2'!F80</f>
        <v>8.3000000000000004E-2</v>
      </c>
      <c r="G80" s="112">
        <f>'Cash Flow %s Yr2'!G80</f>
        <v>8.3000000000000004E-2</v>
      </c>
      <c r="H80" s="112">
        <f>'Cash Flow %s Yr2'!H80</f>
        <v>8.3000000000000004E-2</v>
      </c>
      <c r="I80" s="112">
        <f>'Cash Flow %s Yr2'!I80</f>
        <v>8.3000000000000004E-2</v>
      </c>
      <c r="J80" s="112">
        <f>'Cash Flow %s Yr2'!J80</f>
        <v>8.3000000000000004E-2</v>
      </c>
      <c r="K80" s="112">
        <f>'Cash Flow %s Yr2'!K80</f>
        <v>8.3000000000000004E-2</v>
      </c>
      <c r="L80" s="112">
        <f>'Cash Flow %s Yr2'!L80</f>
        <v>8.4000000000000005E-2</v>
      </c>
      <c r="M80" s="112">
        <f>'Cash Flow %s Yr2'!M80</f>
        <v>8.4000000000000005E-2</v>
      </c>
      <c r="N80" s="112">
        <f>'Cash Flow %s Yr2'!N80</f>
        <v>8.4000000000000005E-2</v>
      </c>
      <c r="O80" s="112">
        <f>'Cash Flow %s Yr2'!O80</f>
        <v>8.4000000000000005E-2</v>
      </c>
      <c r="P80" s="112">
        <f>'Cash Flow %s Yr2'!P80</f>
        <v>0</v>
      </c>
      <c r="Q80" s="112">
        <f>'Cash Flow %s Yr2'!Q80</f>
        <v>0</v>
      </c>
      <c r="R80" s="112">
        <f>'Cash Flow %s Yr2'!R80</f>
        <v>0</v>
      </c>
      <c r="S80" s="111">
        <f t="shared" si="6"/>
        <v>0.99999999999999989</v>
      </c>
    </row>
    <row r="81" spans="1:19" s="31" customFormat="1" x14ac:dyDescent="0.2">
      <c r="A81" s="36"/>
      <c r="B81" s="67" t="str">
        <f>'Expenses Summary'!B35</f>
        <v>3313</v>
      </c>
      <c r="C81" s="67" t="str">
        <f>'Expenses Summary'!C35</f>
        <v>OASDI</v>
      </c>
      <c r="D81" s="112">
        <f>'Cash Flow %s Yr2'!D81</f>
        <v>8.3000000000000004E-2</v>
      </c>
      <c r="E81" s="112">
        <f>'Cash Flow %s Yr2'!E81</f>
        <v>8.3000000000000004E-2</v>
      </c>
      <c r="F81" s="112">
        <f>'Cash Flow %s Yr2'!F81</f>
        <v>8.3000000000000004E-2</v>
      </c>
      <c r="G81" s="112">
        <f>'Cash Flow %s Yr2'!G81</f>
        <v>8.3000000000000004E-2</v>
      </c>
      <c r="H81" s="112">
        <f>'Cash Flow %s Yr2'!H81</f>
        <v>8.3000000000000004E-2</v>
      </c>
      <c r="I81" s="112">
        <f>'Cash Flow %s Yr2'!I81</f>
        <v>8.3000000000000004E-2</v>
      </c>
      <c r="J81" s="112">
        <f>'Cash Flow %s Yr2'!J81</f>
        <v>8.3000000000000004E-2</v>
      </c>
      <c r="K81" s="112">
        <f>'Cash Flow %s Yr2'!K81</f>
        <v>8.3000000000000004E-2</v>
      </c>
      <c r="L81" s="112">
        <f>'Cash Flow %s Yr2'!L81</f>
        <v>8.4000000000000005E-2</v>
      </c>
      <c r="M81" s="112">
        <f>'Cash Flow %s Yr2'!M81</f>
        <v>8.4000000000000005E-2</v>
      </c>
      <c r="N81" s="112">
        <f>'Cash Flow %s Yr2'!N81</f>
        <v>8.4000000000000005E-2</v>
      </c>
      <c r="O81" s="112">
        <f>'Cash Flow %s Yr2'!O81</f>
        <v>8.4000000000000005E-2</v>
      </c>
      <c r="P81" s="112">
        <f>'Cash Flow %s Yr2'!P81</f>
        <v>0</v>
      </c>
      <c r="Q81" s="112">
        <f>'Cash Flow %s Yr2'!Q81</f>
        <v>0</v>
      </c>
      <c r="R81" s="112">
        <f>'Cash Flow %s Yr2'!R81</f>
        <v>0</v>
      </c>
      <c r="S81" s="111">
        <f t="shared" si="6"/>
        <v>0.99999999999999989</v>
      </c>
    </row>
    <row r="82" spans="1:19" s="31" customFormat="1" x14ac:dyDescent="0.2">
      <c r="A82" s="36"/>
      <c r="B82" s="67" t="str">
        <f>'Expenses Summary'!B36</f>
        <v>3323</v>
      </c>
      <c r="C82" s="67" t="str">
        <f>'Expenses Summary'!C36</f>
        <v>Medicare</v>
      </c>
      <c r="D82" s="112">
        <f>'Cash Flow %s Yr2'!D82</f>
        <v>8.3000000000000004E-2</v>
      </c>
      <c r="E82" s="112">
        <f>'Cash Flow %s Yr2'!E82</f>
        <v>8.3000000000000004E-2</v>
      </c>
      <c r="F82" s="112">
        <f>'Cash Flow %s Yr2'!F82</f>
        <v>8.3000000000000004E-2</v>
      </c>
      <c r="G82" s="112">
        <f>'Cash Flow %s Yr2'!G82</f>
        <v>8.3000000000000004E-2</v>
      </c>
      <c r="H82" s="112">
        <f>'Cash Flow %s Yr2'!H82</f>
        <v>8.3000000000000004E-2</v>
      </c>
      <c r="I82" s="112">
        <f>'Cash Flow %s Yr2'!I82</f>
        <v>8.3000000000000004E-2</v>
      </c>
      <c r="J82" s="112">
        <f>'Cash Flow %s Yr2'!J82</f>
        <v>8.3000000000000004E-2</v>
      </c>
      <c r="K82" s="112">
        <f>'Cash Flow %s Yr2'!K82</f>
        <v>8.3000000000000004E-2</v>
      </c>
      <c r="L82" s="112">
        <f>'Cash Flow %s Yr2'!L82</f>
        <v>8.4000000000000005E-2</v>
      </c>
      <c r="M82" s="112">
        <f>'Cash Flow %s Yr2'!M82</f>
        <v>8.4000000000000005E-2</v>
      </c>
      <c r="N82" s="112">
        <f>'Cash Flow %s Yr2'!N82</f>
        <v>8.4000000000000005E-2</v>
      </c>
      <c r="O82" s="112">
        <f>'Cash Flow %s Yr2'!O82</f>
        <v>8.4000000000000005E-2</v>
      </c>
      <c r="P82" s="112">
        <f>'Cash Flow %s Yr2'!P82</f>
        <v>0</v>
      </c>
      <c r="Q82" s="112">
        <f>'Cash Flow %s Yr2'!Q82</f>
        <v>0</v>
      </c>
      <c r="R82" s="112">
        <f>'Cash Flow %s Yr2'!R82</f>
        <v>0</v>
      </c>
      <c r="S82" s="111">
        <f t="shared" si="6"/>
        <v>0.99999999999999989</v>
      </c>
    </row>
    <row r="83" spans="1:19" s="31" customFormat="1" x14ac:dyDescent="0.2">
      <c r="A83" s="36"/>
      <c r="B83" s="67" t="str">
        <f>'Expenses Summary'!B37</f>
        <v>3403</v>
      </c>
      <c r="C83" s="67" t="str">
        <f>'Expenses Summary'!C37</f>
        <v>Health &amp; Welfare Benefits</v>
      </c>
      <c r="D83" s="112">
        <f>'Cash Flow %s Yr2'!D83</f>
        <v>8.3000000000000004E-2</v>
      </c>
      <c r="E83" s="112">
        <f>'Cash Flow %s Yr2'!E83</f>
        <v>8.3000000000000004E-2</v>
      </c>
      <c r="F83" s="112">
        <f>'Cash Flow %s Yr2'!F83</f>
        <v>8.3000000000000004E-2</v>
      </c>
      <c r="G83" s="112">
        <f>'Cash Flow %s Yr2'!G83</f>
        <v>8.3000000000000004E-2</v>
      </c>
      <c r="H83" s="112">
        <f>'Cash Flow %s Yr2'!H83</f>
        <v>8.3000000000000004E-2</v>
      </c>
      <c r="I83" s="112">
        <f>'Cash Flow %s Yr2'!I83</f>
        <v>8.3000000000000004E-2</v>
      </c>
      <c r="J83" s="112">
        <f>'Cash Flow %s Yr2'!J83</f>
        <v>8.3000000000000004E-2</v>
      </c>
      <c r="K83" s="112">
        <f>'Cash Flow %s Yr2'!K83</f>
        <v>8.3000000000000004E-2</v>
      </c>
      <c r="L83" s="112">
        <f>'Cash Flow %s Yr2'!L83</f>
        <v>8.4000000000000005E-2</v>
      </c>
      <c r="M83" s="112">
        <f>'Cash Flow %s Yr2'!M83</f>
        <v>8.4000000000000005E-2</v>
      </c>
      <c r="N83" s="112">
        <f>'Cash Flow %s Yr2'!N83</f>
        <v>8.4000000000000005E-2</v>
      </c>
      <c r="O83" s="112">
        <f>'Cash Flow %s Yr2'!O83</f>
        <v>8.4000000000000005E-2</v>
      </c>
      <c r="P83" s="112">
        <f>'Cash Flow %s Yr2'!P83</f>
        <v>0</v>
      </c>
      <c r="Q83" s="112">
        <f>'Cash Flow %s Yr2'!Q83</f>
        <v>0</v>
      </c>
      <c r="R83" s="112">
        <f>'Cash Flow %s Yr2'!R83</f>
        <v>0</v>
      </c>
      <c r="S83" s="111">
        <f t="shared" si="6"/>
        <v>0.99999999999999989</v>
      </c>
    </row>
    <row r="84" spans="1:19" s="31" customFormat="1" x14ac:dyDescent="0.2">
      <c r="A84" s="36"/>
      <c r="B84" s="67" t="str">
        <f>'Expenses Summary'!B38</f>
        <v>3503</v>
      </c>
      <c r="C84" s="67" t="str">
        <f>'Expenses Summary'!C38</f>
        <v>State Unemployment Insurance</v>
      </c>
      <c r="D84" s="112">
        <f>'Cash Flow %s Yr2'!D84</f>
        <v>8.3000000000000004E-2</v>
      </c>
      <c r="E84" s="112">
        <f>'Cash Flow %s Yr2'!E84</f>
        <v>8.3000000000000004E-2</v>
      </c>
      <c r="F84" s="112">
        <f>'Cash Flow %s Yr2'!F84</f>
        <v>8.3000000000000004E-2</v>
      </c>
      <c r="G84" s="112">
        <f>'Cash Flow %s Yr2'!G84</f>
        <v>8.3000000000000004E-2</v>
      </c>
      <c r="H84" s="112">
        <f>'Cash Flow %s Yr2'!H84</f>
        <v>8.3000000000000004E-2</v>
      </c>
      <c r="I84" s="112">
        <f>'Cash Flow %s Yr2'!I84</f>
        <v>8.3000000000000004E-2</v>
      </c>
      <c r="J84" s="112">
        <f>'Cash Flow %s Yr2'!J84</f>
        <v>8.3000000000000004E-2</v>
      </c>
      <c r="K84" s="112">
        <f>'Cash Flow %s Yr2'!K84</f>
        <v>8.3000000000000004E-2</v>
      </c>
      <c r="L84" s="112">
        <f>'Cash Flow %s Yr2'!L84</f>
        <v>8.4000000000000005E-2</v>
      </c>
      <c r="M84" s="112">
        <f>'Cash Flow %s Yr2'!M84</f>
        <v>8.4000000000000005E-2</v>
      </c>
      <c r="N84" s="112">
        <f>'Cash Flow %s Yr2'!N84</f>
        <v>8.4000000000000005E-2</v>
      </c>
      <c r="O84" s="112">
        <f>'Cash Flow %s Yr2'!O84</f>
        <v>8.4000000000000005E-2</v>
      </c>
      <c r="P84" s="112">
        <f>'Cash Flow %s Yr2'!P84</f>
        <v>0</v>
      </c>
      <c r="Q84" s="112">
        <f>'Cash Flow %s Yr2'!Q84</f>
        <v>0</v>
      </c>
      <c r="R84" s="112">
        <f>'Cash Flow %s Yr2'!R84</f>
        <v>0</v>
      </c>
      <c r="S84" s="111">
        <f t="shared" si="6"/>
        <v>0.99999999999999989</v>
      </c>
    </row>
    <row r="85" spans="1:19" s="31" customFormat="1" x14ac:dyDescent="0.2">
      <c r="A85" s="36"/>
      <c r="B85" s="67" t="str">
        <f>'Expenses Summary'!B39</f>
        <v>3603</v>
      </c>
      <c r="C85" s="67" t="str">
        <f>'Expenses Summary'!C39</f>
        <v>Worker Compensation Insurance</v>
      </c>
      <c r="D85" s="112">
        <f>'Cash Flow %s Yr2'!D85</f>
        <v>8.3000000000000004E-2</v>
      </c>
      <c r="E85" s="112">
        <f>'Cash Flow %s Yr2'!E85</f>
        <v>8.3000000000000004E-2</v>
      </c>
      <c r="F85" s="112">
        <f>'Cash Flow %s Yr2'!F85</f>
        <v>8.3000000000000004E-2</v>
      </c>
      <c r="G85" s="112">
        <f>'Cash Flow %s Yr2'!G85</f>
        <v>8.3000000000000004E-2</v>
      </c>
      <c r="H85" s="112">
        <f>'Cash Flow %s Yr2'!H85</f>
        <v>8.3000000000000004E-2</v>
      </c>
      <c r="I85" s="112">
        <f>'Cash Flow %s Yr2'!I85</f>
        <v>8.3000000000000004E-2</v>
      </c>
      <c r="J85" s="112">
        <f>'Cash Flow %s Yr2'!J85</f>
        <v>8.3000000000000004E-2</v>
      </c>
      <c r="K85" s="112">
        <f>'Cash Flow %s Yr2'!K85</f>
        <v>8.3000000000000004E-2</v>
      </c>
      <c r="L85" s="112">
        <f>'Cash Flow %s Yr2'!L85</f>
        <v>8.4000000000000005E-2</v>
      </c>
      <c r="M85" s="112">
        <f>'Cash Flow %s Yr2'!M85</f>
        <v>8.4000000000000005E-2</v>
      </c>
      <c r="N85" s="112">
        <f>'Cash Flow %s Yr2'!N85</f>
        <v>8.4000000000000005E-2</v>
      </c>
      <c r="O85" s="112">
        <f>'Cash Flow %s Yr2'!O85</f>
        <v>8.4000000000000005E-2</v>
      </c>
      <c r="P85" s="112">
        <f>'Cash Flow %s Yr2'!P85</f>
        <v>0</v>
      </c>
      <c r="Q85" s="112">
        <f>'Cash Flow %s Yr2'!Q85</f>
        <v>0</v>
      </c>
      <c r="R85" s="112">
        <f>'Cash Flow %s Yr2'!R85</f>
        <v>0</v>
      </c>
      <c r="S85" s="111">
        <f t="shared" si="6"/>
        <v>0.99999999999999989</v>
      </c>
    </row>
    <row r="86" spans="1:19" s="31" customFormat="1" x14ac:dyDescent="0.2">
      <c r="A86" s="36"/>
      <c r="B86" s="67" t="str">
        <f>'Expenses Summary'!B40</f>
        <v>3703</v>
      </c>
      <c r="C86" s="67" t="str">
        <f>'Expenses Summary'!C40</f>
        <v>Other Post Employement Benefits</v>
      </c>
      <c r="D86" s="112">
        <f>'Cash Flow %s Yr2'!D86</f>
        <v>8.3000000000000004E-2</v>
      </c>
      <c r="E86" s="112">
        <f>'Cash Flow %s Yr2'!E86</f>
        <v>8.3000000000000004E-2</v>
      </c>
      <c r="F86" s="112">
        <f>'Cash Flow %s Yr2'!F86</f>
        <v>8.3000000000000004E-2</v>
      </c>
      <c r="G86" s="112">
        <f>'Cash Flow %s Yr2'!G86</f>
        <v>8.3000000000000004E-2</v>
      </c>
      <c r="H86" s="112">
        <f>'Cash Flow %s Yr2'!H86</f>
        <v>8.3000000000000004E-2</v>
      </c>
      <c r="I86" s="112">
        <f>'Cash Flow %s Yr2'!I86</f>
        <v>8.3000000000000004E-2</v>
      </c>
      <c r="J86" s="112">
        <f>'Cash Flow %s Yr2'!J86</f>
        <v>8.3000000000000004E-2</v>
      </c>
      <c r="K86" s="112">
        <f>'Cash Flow %s Yr2'!K86</f>
        <v>8.3000000000000004E-2</v>
      </c>
      <c r="L86" s="112">
        <f>'Cash Flow %s Yr2'!L86</f>
        <v>8.4000000000000005E-2</v>
      </c>
      <c r="M86" s="112">
        <f>'Cash Flow %s Yr2'!M86</f>
        <v>8.4000000000000005E-2</v>
      </c>
      <c r="N86" s="112">
        <f>'Cash Flow %s Yr2'!N86</f>
        <v>8.4000000000000005E-2</v>
      </c>
      <c r="O86" s="112">
        <f>'Cash Flow %s Yr2'!O86</f>
        <v>8.4000000000000005E-2</v>
      </c>
      <c r="P86" s="112">
        <f>'Cash Flow %s Yr2'!P86</f>
        <v>0</v>
      </c>
      <c r="Q86" s="112">
        <f>'Cash Flow %s Yr2'!Q86</f>
        <v>0</v>
      </c>
      <c r="R86" s="112">
        <f>'Cash Flow %s Yr2'!R86</f>
        <v>0</v>
      </c>
      <c r="S86" s="111">
        <f t="shared" si="6"/>
        <v>0.99999999999999989</v>
      </c>
    </row>
    <row r="87" spans="1:19" s="31" customFormat="1" x14ac:dyDescent="0.2">
      <c r="A87" s="36"/>
      <c r="B87" s="67" t="str">
        <f>'Expenses Summary'!B41</f>
        <v>3903</v>
      </c>
      <c r="C87" s="67" t="str">
        <f>'Expenses Summary'!C41</f>
        <v>Other Benefits</v>
      </c>
      <c r="D87" s="112">
        <f>'Cash Flow %s Yr2'!D87</f>
        <v>8.3000000000000004E-2</v>
      </c>
      <c r="E87" s="112">
        <f>'Cash Flow %s Yr2'!E87</f>
        <v>8.3000000000000004E-2</v>
      </c>
      <c r="F87" s="112">
        <f>'Cash Flow %s Yr2'!F87</f>
        <v>8.3000000000000004E-2</v>
      </c>
      <c r="G87" s="112">
        <f>'Cash Flow %s Yr2'!G87</f>
        <v>8.3000000000000004E-2</v>
      </c>
      <c r="H87" s="112">
        <f>'Cash Flow %s Yr2'!H87</f>
        <v>8.3000000000000004E-2</v>
      </c>
      <c r="I87" s="112">
        <f>'Cash Flow %s Yr2'!I87</f>
        <v>8.3000000000000004E-2</v>
      </c>
      <c r="J87" s="112">
        <f>'Cash Flow %s Yr2'!J87</f>
        <v>8.3000000000000004E-2</v>
      </c>
      <c r="K87" s="112">
        <f>'Cash Flow %s Yr2'!K87</f>
        <v>8.3000000000000004E-2</v>
      </c>
      <c r="L87" s="112">
        <f>'Cash Flow %s Yr2'!L87</f>
        <v>8.4000000000000005E-2</v>
      </c>
      <c r="M87" s="112">
        <f>'Cash Flow %s Yr2'!M87</f>
        <v>8.4000000000000005E-2</v>
      </c>
      <c r="N87" s="112">
        <f>'Cash Flow %s Yr2'!N87</f>
        <v>8.4000000000000005E-2</v>
      </c>
      <c r="O87" s="112">
        <f>'Cash Flow %s Yr2'!O87</f>
        <v>8.4000000000000005E-2</v>
      </c>
      <c r="P87" s="112">
        <f>'Cash Flow %s Yr2'!P87</f>
        <v>0</v>
      </c>
      <c r="Q87" s="112">
        <f>'Cash Flow %s Yr2'!Q87</f>
        <v>0</v>
      </c>
      <c r="R87" s="112">
        <f>'Cash Flow %s Yr2'!R87</f>
        <v>0</v>
      </c>
      <c r="S87" s="111">
        <f t="shared" si="6"/>
        <v>0.99999999999999989</v>
      </c>
    </row>
    <row r="88" spans="1:19" s="31" customFormat="1" x14ac:dyDescent="0.2">
      <c r="A88" s="36"/>
      <c r="B88" s="122"/>
      <c r="C88" s="122"/>
      <c r="D88" s="123"/>
      <c r="E88" s="123"/>
      <c r="F88" s="123"/>
      <c r="G88" s="123"/>
      <c r="H88" s="123"/>
      <c r="I88" s="123"/>
      <c r="J88" s="123"/>
      <c r="K88" s="123"/>
      <c r="L88" s="123"/>
      <c r="M88" s="123"/>
      <c r="N88" s="123"/>
      <c r="O88" s="123"/>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c r="S89" s="111"/>
    </row>
    <row r="90" spans="1:19" s="31" customFormat="1" x14ac:dyDescent="0.2">
      <c r="B90" s="34" t="s">
        <v>678</v>
      </c>
      <c r="C90" s="3"/>
      <c r="D90" s="95"/>
      <c r="E90" s="95"/>
      <c r="F90" s="95"/>
      <c r="G90" s="95"/>
      <c r="H90" s="95"/>
      <c r="I90" s="95"/>
      <c r="J90" s="95"/>
      <c r="K90" s="95"/>
      <c r="L90" s="95"/>
      <c r="M90" s="95"/>
      <c r="N90" s="95"/>
      <c r="O90" s="95"/>
      <c r="P90" s="95"/>
      <c r="Q90" s="95"/>
      <c r="R90" s="95"/>
      <c r="S90" s="111"/>
    </row>
    <row r="91" spans="1:19" s="31" customFormat="1" x14ac:dyDescent="0.2">
      <c r="A91" s="36"/>
      <c r="B91" s="66" t="str">
        <f>'Expenses Summary'!B47</f>
        <v>4100</v>
      </c>
      <c r="C91" s="66" t="str">
        <f>'Expenses Summary'!C47</f>
        <v>Approved Textbooks and Core Curricula Materials</v>
      </c>
      <c r="D91" s="112">
        <f>'Cash Flow %s Yr2'!D91</f>
        <v>0</v>
      </c>
      <c r="E91" s="112">
        <f>'Cash Flow %s Yr2'!E91</f>
        <v>0</v>
      </c>
      <c r="F91" s="112">
        <f>'Cash Flow %s Yr2'!F91</f>
        <v>0</v>
      </c>
      <c r="G91" s="112">
        <f>'Cash Flow %s Yr2'!G91</f>
        <v>0</v>
      </c>
      <c r="H91" s="112">
        <f>'Cash Flow %s Yr2'!H91</f>
        <v>0.25</v>
      </c>
      <c r="I91" s="112">
        <f>'Cash Flow %s Yr2'!I91</f>
        <v>0.25</v>
      </c>
      <c r="J91" s="112">
        <f>'Cash Flow %s Yr2'!J91</f>
        <v>0.25</v>
      </c>
      <c r="K91" s="112">
        <f>'Cash Flow %s Yr2'!K91</f>
        <v>0</v>
      </c>
      <c r="L91" s="112">
        <f>'Cash Flow %s Yr2'!L91</f>
        <v>0.25</v>
      </c>
      <c r="M91" s="112">
        <f>'Cash Flow %s Yr2'!M91</f>
        <v>0</v>
      </c>
      <c r="N91" s="112">
        <f>'Cash Flow %s Yr2'!N91</f>
        <v>0</v>
      </c>
      <c r="O91" s="112">
        <f>'Cash Flow %s Yr2'!O91</f>
        <v>0</v>
      </c>
      <c r="P91" s="112">
        <f>'Cash Flow %s Yr2'!P91</f>
        <v>0</v>
      </c>
      <c r="Q91" s="112">
        <f>'Cash Flow %s Yr2'!Q91</f>
        <v>0</v>
      </c>
      <c r="R91" s="112">
        <f>'Cash Flow %s Yr2'!R91</f>
        <v>0</v>
      </c>
      <c r="S91" s="111">
        <f t="shared" ref="S91:S96" si="7">SUM(D91:R91)</f>
        <v>1</v>
      </c>
    </row>
    <row r="92" spans="1:19" x14ac:dyDescent="0.2">
      <c r="A92" s="36"/>
      <c r="B92" s="66" t="str">
        <f>'Expenses Summary'!B48</f>
        <v>4200</v>
      </c>
      <c r="C92" s="66" t="str">
        <f>'Expenses Summary'!C48</f>
        <v>Books and Other Reference Materials</v>
      </c>
      <c r="D92" s="112">
        <f>'Cash Flow %s Yr2'!D92</f>
        <v>0</v>
      </c>
      <c r="E92" s="112">
        <f>'Cash Flow %s Yr2'!E92</f>
        <v>0</v>
      </c>
      <c r="F92" s="112">
        <f>'Cash Flow %s Yr2'!F92</f>
        <v>0</v>
      </c>
      <c r="G92" s="112">
        <f>'Cash Flow %s Yr2'!G92</f>
        <v>0</v>
      </c>
      <c r="H92" s="112">
        <f>'Cash Flow %s Yr2'!H92</f>
        <v>0.25</v>
      </c>
      <c r="I92" s="112">
        <f>'Cash Flow %s Yr2'!I92</f>
        <v>0.25</v>
      </c>
      <c r="J92" s="112">
        <f>'Cash Flow %s Yr2'!J92</f>
        <v>0.25</v>
      </c>
      <c r="K92" s="112">
        <f>'Cash Flow %s Yr2'!K92</f>
        <v>0</v>
      </c>
      <c r="L92" s="112">
        <f>'Cash Flow %s Yr2'!L92</f>
        <v>0.25</v>
      </c>
      <c r="M92" s="112">
        <f>'Cash Flow %s Yr2'!M92</f>
        <v>0</v>
      </c>
      <c r="N92" s="112">
        <f>'Cash Flow %s Yr2'!N92</f>
        <v>0</v>
      </c>
      <c r="O92" s="112">
        <f>'Cash Flow %s Yr2'!O92</f>
        <v>0</v>
      </c>
      <c r="P92" s="112">
        <f>'Cash Flow %s Yr2'!P92</f>
        <v>0</v>
      </c>
      <c r="Q92" s="112">
        <f>'Cash Flow %s Yr2'!Q92</f>
        <v>0</v>
      </c>
      <c r="R92" s="112">
        <f>'Cash Flow %s Yr2'!R92</f>
        <v>0</v>
      </c>
      <c r="S92" s="111">
        <f t="shared" si="7"/>
        <v>1</v>
      </c>
    </row>
    <row r="93" spans="1:19" x14ac:dyDescent="0.2">
      <c r="A93" s="36"/>
      <c r="B93" s="66" t="str">
        <f>'Expenses Summary'!B49</f>
        <v>4300</v>
      </c>
      <c r="C93" s="66" t="str">
        <f>'Expenses Summary'!C49</f>
        <v>Materials and Supplies</v>
      </c>
      <c r="D93" s="112">
        <f>'Cash Flow %s Yr2'!D93</f>
        <v>0</v>
      </c>
      <c r="E93" s="112">
        <f>'Cash Flow %s Yr2'!E93</f>
        <v>0</v>
      </c>
      <c r="F93" s="112">
        <f>'Cash Flow %s Yr2'!F93</f>
        <v>0.3</v>
      </c>
      <c r="G93" s="112">
        <f>'Cash Flow %s Yr2'!G93</f>
        <v>0</v>
      </c>
      <c r="H93" s="112">
        <f>'Cash Flow %s Yr2'!H93</f>
        <v>0.3</v>
      </c>
      <c r="I93" s="112">
        <f>'Cash Flow %s Yr2'!I93</f>
        <v>0</v>
      </c>
      <c r="J93" s="112">
        <f>'Cash Flow %s Yr2'!J93</f>
        <v>0.3</v>
      </c>
      <c r="K93" s="112">
        <f>'Cash Flow %s Yr2'!K93</f>
        <v>0</v>
      </c>
      <c r="L93" s="112">
        <f>'Cash Flow %s Yr2'!L93</f>
        <v>0.1</v>
      </c>
      <c r="M93" s="112">
        <f>'Cash Flow %s Yr2'!M93</f>
        <v>0</v>
      </c>
      <c r="N93" s="112">
        <f>'Cash Flow %s Yr2'!N93</f>
        <v>0</v>
      </c>
      <c r="O93" s="112">
        <f>'Cash Flow %s Yr2'!O93</f>
        <v>0</v>
      </c>
      <c r="P93" s="112">
        <f>'Cash Flow %s Yr2'!P93</f>
        <v>0</v>
      </c>
      <c r="Q93" s="112">
        <f>'Cash Flow %s Yr2'!Q93</f>
        <v>0</v>
      </c>
      <c r="R93" s="112">
        <f>'Cash Flow %s Yr2'!R93</f>
        <v>0</v>
      </c>
      <c r="S93" s="111">
        <f t="shared" si="7"/>
        <v>0.99999999999999989</v>
      </c>
    </row>
    <row r="94" spans="1:19" x14ac:dyDescent="0.2">
      <c r="A94" s="36"/>
      <c r="B94" s="66" t="str">
        <f>'Expenses Summary'!B50</f>
        <v>4315</v>
      </c>
      <c r="C94" s="66" t="str">
        <f>'Expenses Summary'!C50</f>
        <v>Classroom Materials and Supplies</v>
      </c>
      <c r="D94" s="112">
        <f>'Cash Flow %s Yr2'!D94</f>
        <v>0</v>
      </c>
      <c r="E94" s="112">
        <f>'Cash Flow %s Yr2'!E94</f>
        <v>0</v>
      </c>
      <c r="F94" s="112">
        <f>'Cash Flow %s Yr2'!F94</f>
        <v>0.1</v>
      </c>
      <c r="G94" s="112">
        <f>'Cash Flow %s Yr2'!G94</f>
        <v>0.1</v>
      </c>
      <c r="H94" s="112">
        <f>'Cash Flow %s Yr2'!H94</f>
        <v>0.2</v>
      </c>
      <c r="I94" s="112">
        <f>'Cash Flow %s Yr2'!I94</f>
        <v>0.1</v>
      </c>
      <c r="J94" s="112">
        <f>'Cash Flow %s Yr2'!J94</f>
        <v>0.2</v>
      </c>
      <c r="K94" s="112">
        <f>'Cash Flow %s Yr2'!K94</f>
        <v>0.1</v>
      </c>
      <c r="L94" s="112">
        <f>'Cash Flow %s Yr2'!L94</f>
        <v>0.1</v>
      </c>
      <c r="M94" s="112">
        <f>'Cash Flow %s Yr2'!M94</f>
        <v>0.1</v>
      </c>
      <c r="N94" s="112">
        <f>'Cash Flow %s Yr2'!N94</f>
        <v>0</v>
      </c>
      <c r="O94" s="112">
        <f>'Cash Flow %s Yr2'!O94</f>
        <v>0</v>
      </c>
      <c r="P94" s="112">
        <f>'Cash Flow %s Yr2'!P94</f>
        <v>0</v>
      </c>
      <c r="Q94" s="112">
        <f>'Cash Flow %s Yr2'!Q94</f>
        <v>0</v>
      </c>
      <c r="R94" s="112">
        <f>'Cash Flow %s Yr2'!R94</f>
        <v>0</v>
      </c>
      <c r="S94" s="111">
        <f t="shared" si="7"/>
        <v>0.99999999999999989</v>
      </c>
    </row>
    <row r="95" spans="1:19" x14ac:dyDescent="0.2">
      <c r="A95" s="36"/>
      <c r="B95" s="66" t="str">
        <f>'Expenses Summary'!B51</f>
        <v>4400</v>
      </c>
      <c r="C95" s="66" t="str">
        <f>'Expenses Summary'!C51</f>
        <v>Noncapitalized Equipment</v>
      </c>
      <c r="D95" s="112">
        <f>'Cash Flow %s Yr2'!D95</f>
        <v>8.3000000000000004E-2</v>
      </c>
      <c r="E95" s="112">
        <f>'Cash Flow %s Yr2'!E95</f>
        <v>8.3000000000000004E-2</v>
      </c>
      <c r="F95" s="112">
        <f>'Cash Flow %s Yr2'!F95</f>
        <v>8.3000000000000004E-2</v>
      </c>
      <c r="G95" s="112">
        <f>'Cash Flow %s Yr2'!G95</f>
        <v>8.3000000000000004E-2</v>
      </c>
      <c r="H95" s="112">
        <f>'Cash Flow %s Yr2'!H95</f>
        <v>8.3000000000000004E-2</v>
      </c>
      <c r="I95" s="112">
        <f>'Cash Flow %s Yr2'!I95</f>
        <v>8.3000000000000004E-2</v>
      </c>
      <c r="J95" s="112">
        <f>'Cash Flow %s Yr2'!J95</f>
        <v>8.3000000000000004E-2</v>
      </c>
      <c r="K95" s="112">
        <f>'Cash Flow %s Yr2'!K95</f>
        <v>8.3000000000000004E-2</v>
      </c>
      <c r="L95" s="112">
        <f>'Cash Flow %s Yr2'!L95</f>
        <v>8.4000000000000005E-2</v>
      </c>
      <c r="M95" s="112">
        <f>'Cash Flow %s Yr2'!M95</f>
        <v>8.4000000000000005E-2</v>
      </c>
      <c r="N95" s="112">
        <f>'Cash Flow %s Yr2'!N95</f>
        <v>8.4000000000000005E-2</v>
      </c>
      <c r="O95" s="112">
        <f>'Cash Flow %s Yr2'!O95</f>
        <v>8.4000000000000005E-2</v>
      </c>
      <c r="P95" s="112">
        <f>'Cash Flow %s Yr2'!P95</f>
        <v>0</v>
      </c>
      <c r="Q95" s="112">
        <f>'Cash Flow %s Yr2'!Q95</f>
        <v>0</v>
      </c>
      <c r="R95" s="112">
        <f>'Cash Flow %s Yr2'!R95</f>
        <v>0</v>
      </c>
      <c r="S95" s="111">
        <f t="shared" si="7"/>
        <v>0.99999999999999989</v>
      </c>
    </row>
    <row r="96" spans="1:19" x14ac:dyDescent="0.2">
      <c r="A96" s="36"/>
      <c r="B96" s="66" t="str">
        <f>'Expenses Summary'!B52</f>
        <v>4430</v>
      </c>
      <c r="C96" s="66" t="str">
        <f>'Expenses Summary'!C52</f>
        <v>General Student Equipment</v>
      </c>
      <c r="D96" s="112">
        <f>'Cash Flow %s Yr2'!D96</f>
        <v>0</v>
      </c>
      <c r="E96" s="112">
        <f>'Cash Flow %s Yr2'!E96</f>
        <v>0</v>
      </c>
      <c r="F96" s="112">
        <f>'Cash Flow %s Yr2'!F96</f>
        <v>0.6</v>
      </c>
      <c r="G96" s="112">
        <f>'Cash Flow %s Yr2'!G96</f>
        <v>0</v>
      </c>
      <c r="H96" s="112">
        <f>'Cash Flow %s Yr2'!H96</f>
        <v>0</v>
      </c>
      <c r="I96" s="112">
        <f>'Cash Flow %s Yr2'!I96</f>
        <v>0</v>
      </c>
      <c r="J96" s="112">
        <f>'Cash Flow %s Yr2'!J96</f>
        <v>0.4</v>
      </c>
      <c r="K96" s="112">
        <f>'Cash Flow %s Yr2'!K96</f>
        <v>0</v>
      </c>
      <c r="L96" s="112">
        <f>'Cash Flow %s Yr2'!L96</f>
        <v>0</v>
      </c>
      <c r="M96" s="112">
        <f>'Cash Flow %s Yr2'!M96</f>
        <v>0</v>
      </c>
      <c r="N96" s="112">
        <f>'Cash Flow %s Yr2'!N96</f>
        <v>0</v>
      </c>
      <c r="O96" s="112">
        <f>'Cash Flow %s Yr2'!O96</f>
        <v>0</v>
      </c>
      <c r="P96" s="112">
        <f>'Cash Flow %s Yr2'!P96</f>
        <v>0</v>
      </c>
      <c r="Q96" s="112">
        <f>'Cash Flow %s Yr2'!Q96</f>
        <v>0</v>
      </c>
      <c r="R96" s="112">
        <f>'Cash Flow %s Yr2'!R96</f>
        <v>0</v>
      </c>
      <c r="S96" s="111">
        <f t="shared" si="7"/>
        <v>1</v>
      </c>
    </row>
    <row r="97" spans="1:19" hidden="1" outlineLevel="1" x14ac:dyDescent="0.2">
      <c r="A97" s="36"/>
      <c r="B97" s="66">
        <f>'Expenses Summary'!B53</f>
        <v>0</v>
      </c>
      <c r="C97" s="66">
        <f>'Expenses Summary'!C53</f>
        <v>0</v>
      </c>
      <c r="D97" s="112">
        <f>'Cash Flow %s Yr2'!D97</f>
        <v>0</v>
      </c>
      <c r="E97" s="112">
        <f>'Cash Flow %s Yr2'!E97</f>
        <v>0</v>
      </c>
      <c r="F97" s="112">
        <f>'Cash Flow %s Yr2'!F97</f>
        <v>0.1</v>
      </c>
      <c r="G97" s="112">
        <f>'Cash Flow %s Yr2'!G97</f>
        <v>0.1</v>
      </c>
      <c r="H97" s="112">
        <f>'Cash Flow %s Yr2'!H97</f>
        <v>0.1</v>
      </c>
      <c r="I97" s="112">
        <f>'Cash Flow %s Yr2'!I97</f>
        <v>0.1</v>
      </c>
      <c r="J97" s="112">
        <f>'Cash Flow %s Yr2'!J97</f>
        <v>0.1</v>
      </c>
      <c r="K97" s="112">
        <f>'Cash Flow %s Yr2'!K97</f>
        <v>0.1</v>
      </c>
      <c r="L97" s="112">
        <f>'Cash Flow %s Yr2'!L97</f>
        <v>0.1</v>
      </c>
      <c r="M97" s="112">
        <f>'Cash Flow %s Yr2'!M97</f>
        <v>0.1</v>
      </c>
      <c r="N97" s="112">
        <f>'Cash Flow %s Yr2'!N97</f>
        <v>0.1</v>
      </c>
      <c r="O97" s="112">
        <f>'Cash Flow %s Yr2'!O97</f>
        <v>0.1</v>
      </c>
      <c r="P97" s="112">
        <f>'Cash Flow %s Yr2'!P97</f>
        <v>0</v>
      </c>
      <c r="Q97" s="112">
        <f>'Cash Flow %s Yr2'!Q97</f>
        <v>0</v>
      </c>
      <c r="R97" s="112">
        <f>'Cash Flow %s Yr2'!R97</f>
        <v>0</v>
      </c>
      <c r="S97" s="111">
        <f t="shared" ref="S97:S106" si="8">SUM(D97:R97)</f>
        <v>0.99999999999999989</v>
      </c>
    </row>
    <row r="98" spans="1:19" hidden="1" outlineLevel="1" x14ac:dyDescent="0.2">
      <c r="A98" s="36"/>
      <c r="B98" s="66">
        <f>'Expenses Summary'!B54</f>
        <v>0</v>
      </c>
      <c r="C98" s="66">
        <f>'Expenses Summary'!C54</f>
        <v>0</v>
      </c>
      <c r="D98" s="112">
        <f>'Cash Flow %s Yr2'!D98</f>
        <v>0</v>
      </c>
      <c r="E98" s="112">
        <f>'Cash Flow %s Yr2'!E98</f>
        <v>0</v>
      </c>
      <c r="F98" s="112">
        <f>'Cash Flow %s Yr2'!F98</f>
        <v>0.1</v>
      </c>
      <c r="G98" s="112">
        <f>'Cash Flow %s Yr2'!G98</f>
        <v>0.1</v>
      </c>
      <c r="H98" s="112">
        <f>'Cash Flow %s Yr2'!H98</f>
        <v>0.1</v>
      </c>
      <c r="I98" s="112">
        <f>'Cash Flow %s Yr2'!I98</f>
        <v>0.1</v>
      </c>
      <c r="J98" s="112">
        <f>'Cash Flow %s Yr2'!J98</f>
        <v>0.1</v>
      </c>
      <c r="K98" s="112">
        <f>'Cash Flow %s Yr2'!K98</f>
        <v>0.1</v>
      </c>
      <c r="L98" s="112">
        <f>'Cash Flow %s Yr2'!L98</f>
        <v>0.1</v>
      </c>
      <c r="M98" s="112">
        <f>'Cash Flow %s Yr2'!M98</f>
        <v>0.1</v>
      </c>
      <c r="N98" s="112">
        <f>'Cash Flow %s Yr2'!N98</f>
        <v>0.1</v>
      </c>
      <c r="O98" s="112">
        <f>'Cash Flow %s Yr2'!O98</f>
        <v>0.1</v>
      </c>
      <c r="P98" s="112">
        <f>'Cash Flow %s Yr2'!P98</f>
        <v>0</v>
      </c>
      <c r="Q98" s="112">
        <f>'Cash Flow %s Yr2'!Q98</f>
        <v>0</v>
      </c>
      <c r="R98" s="112">
        <f>'Cash Flow %s Yr2'!R98</f>
        <v>0</v>
      </c>
      <c r="S98" s="111">
        <f t="shared" si="8"/>
        <v>0.99999999999999989</v>
      </c>
    </row>
    <row r="99" spans="1:19" hidden="1" outlineLevel="1" x14ac:dyDescent="0.2">
      <c r="A99" s="36"/>
      <c r="B99" s="66">
        <f>'Expenses Summary'!B55</f>
        <v>0</v>
      </c>
      <c r="C99" s="66">
        <f>'Expenses Summary'!C55</f>
        <v>0</v>
      </c>
      <c r="D99" s="112">
        <f>'Cash Flow %s Yr2'!D99</f>
        <v>0</v>
      </c>
      <c r="E99" s="112">
        <f>'Cash Flow %s Yr2'!E99</f>
        <v>0</v>
      </c>
      <c r="F99" s="112">
        <f>'Cash Flow %s Yr2'!F99</f>
        <v>0.1</v>
      </c>
      <c r="G99" s="112">
        <f>'Cash Flow %s Yr2'!G99</f>
        <v>0.1</v>
      </c>
      <c r="H99" s="112">
        <f>'Cash Flow %s Yr2'!H99</f>
        <v>0.1</v>
      </c>
      <c r="I99" s="112">
        <f>'Cash Flow %s Yr2'!I99</f>
        <v>0.1</v>
      </c>
      <c r="J99" s="112">
        <f>'Cash Flow %s Yr2'!J99</f>
        <v>0.1</v>
      </c>
      <c r="K99" s="112">
        <f>'Cash Flow %s Yr2'!K99</f>
        <v>0.1</v>
      </c>
      <c r="L99" s="112">
        <f>'Cash Flow %s Yr2'!L99</f>
        <v>0.1</v>
      </c>
      <c r="M99" s="112">
        <f>'Cash Flow %s Yr2'!M99</f>
        <v>0.1</v>
      </c>
      <c r="N99" s="112">
        <f>'Cash Flow %s Yr2'!N99</f>
        <v>0.1</v>
      </c>
      <c r="O99" s="112">
        <f>'Cash Flow %s Yr2'!O99</f>
        <v>0.1</v>
      </c>
      <c r="P99" s="112">
        <f>'Cash Flow %s Yr2'!P99</f>
        <v>0</v>
      </c>
      <c r="Q99" s="112">
        <f>'Cash Flow %s Yr2'!Q99</f>
        <v>0</v>
      </c>
      <c r="R99" s="112">
        <f>'Cash Flow %s Yr2'!R99</f>
        <v>0</v>
      </c>
      <c r="S99" s="111">
        <f t="shared" si="8"/>
        <v>0.99999999999999989</v>
      </c>
    </row>
    <row r="100" spans="1:19" hidden="1" outlineLevel="1" x14ac:dyDescent="0.2">
      <c r="A100" s="36"/>
      <c r="B100" s="66">
        <f>'Expenses Summary'!B56</f>
        <v>0</v>
      </c>
      <c r="C100" s="66">
        <f>'Expenses Summary'!C56</f>
        <v>0</v>
      </c>
      <c r="D100" s="112">
        <f>'Cash Flow %s Yr2'!D100</f>
        <v>0</v>
      </c>
      <c r="E100" s="112">
        <f>'Cash Flow %s Yr2'!E100</f>
        <v>0</v>
      </c>
      <c r="F100" s="112">
        <f>'Cash Flow %s Yr2'!F100</f>
        <v>0.1</v>
      </c>
      <c r="G100" s="112">
        <f>'Cash Flow %s Yr2'!G100</f>
        <v>0.1</v>
      </c>
      <c r="H100" s="112">
        <f>'Cash Flow %s Yr2'!H100</f>
        <v>0.1</v>
      </c>
      <c r="I100" s="112">
        <f>'Cash Flow %s Yr2'!I100</f>
        <v>0.1</v>
      </c>
      <c r="J100" s="112">
        <f>'Cash Flow %s Yr2'!J100</f>
        <v>0.1</v>
      </c>
      <c r="K100" s="112">
        <f>'Cash Flow %s Yr2'!K100</f>
        <v>0.1</v>
      </c>
      <c r="L100" s="112">
        <f>'Cash Flow %s Yr2'!L100</f>
        <v>0.1</v>
      </c>
      <c r="M100" s="112">
        <f>'Cash Flow %s Yr2'!M100</f>
        <v>0.1</v>
      </c>
      <c r="N100" s="112">
        <f>'Cash Flow %s Yr2'!N100</f>
        <v>0.1</v>
      </c>
      <c r="O100" s="112">
        <f>'Cash Flow %s Yr2'!O100</f>
        <v>0.1</v>
      </c>
      <c r="P100" s="112">
        <f>'Cash Flow %s Yr2'!P100</f>
        <v>0</v>
      </c>
      <c r="Q100" s="112">
        <f>'Cash Flow %s Yr2'!Q100</f>
        <v>0</v>
      </c>
      <c r="R100" s="112">
        <f>'Cash Flow %s Yr2'!R100</f>
        <v>0</v>
      </c>
      <c r="S100" s="111">
        <f t="shared" si="8"/>
        <v>0.99999999999999989</v>
      </c>
    </row>
    <row r="101" spans="1:19" hidden="1" outlineLevel="1" x14ac:dyDescent="0.2">
      <c r="A101" s="36"/>
      <c r="B101" s="66">
        <f>'Expenses Summary'!B57</f>
        <v>0</v>
      </c>
      <c r="C101" s="66">
        <f>'Expenses Summary'!C57</f>
        <v>0</v>
      </c>
      <c r="D101" s="112">
        <f>'Cash Flow %s Yr2'!D101</f>
        <v>0</v>
      </c>
      <c r="E101" s="112">
        <f>'Cash Flow %s Yr2'!E101</f>
        <v>0</v>
      </c>
      <c r="F101" s="112">
        <f>'Cash Flow %s Yr2'!F101</f>
        <v>0.1</v>
      </c>
      <c r="G101" s="112">
        <f>'Cash Flow %s Yr2'!G101</f>
        <v>0.1</v>
      </c>
      <c r="H101" s="112">
        <f>'Cash Flow %s Yr2'!H101</f>
        <v>0.1</v>
      </c>
      <c r="I101" s="112">
        <f>'Cash Flow %s Yr2'!I101</f>
        <v>0.1</v>
      </c>
      <c r="J101" s="112">
        <f>'Cash Flow %s Yr2'!J101</f>
        <v>0.1</v>
      </c>
      <c r="K101" s="112">
        <f>'Cash Flow %s Yr2'!K101</f>
        <v>0.1</v>
      </c>
      <c r="L101" s="112">
        <f>'Cash Flow %s Yr2'!L101</f>
        <v>0.1</v>
      </c>
      <c r="M101" s="112">
        <f>'Cash Flow %s Yr2'!M101</f>
        <v>0.1</v>
      </c>
      <c r="N101" s="112">
        <f>'Cash Flow %s Yr2'!N101</f>
        <v>0.1</v>
      </c>
      <c r="O101" s="112">
        <f>'Cash Flow %s Yr2'!O101</f>
        <v>0.1</v>
      </c>
      <c r="P101" s="112">
        <f>'Cash Flow %s Yr2'!P101</f>
        <v>0</v>
      </c>
      <c r="Q101" s="112">
        <f>'Cash Flow %s Yr2'!Q101</f>
        <v>0</v>
      </c>
      <c r="R101" s="112">
        <f>'Cash Flow %s Yr2'!R101</f>
        <v>0</v>
      </c>
      <c r="S101" s="111">
        <f t="shared" si="8"/>
        <v>0.99999999999999989</v>
      </c>
    </row>
    <row r="102" spans="1:19" hidden="1" outlineLevel="1" x14ac:dyDescent="0.2">
      <c r="A102" s="36"/>
      <c r="B102" s="66">
        <f>'Expenses Summary'!B58</f>
        <v>0</v>
      </c>
      <c r="C102" s="66">
        <f>'Expenses Summary'!C58</f>
        <v>0</v>
      </c>
      <c r="D102" s="112">
        <f>'Cash Flow %s Yr2'!D102</f>
        <v>0</v>
      </c>
      <c r="E102" s="112">
        <f>'Cash Flow %s Yr2'!E102</f>
        <v>0</v>
      </c>
      <c r="F102" s="112">
        <f>'Cash Flow %s Yr2'!F102</f>
        <v>0.1</v>
      </c>
      <c r="G102" s="112">
        <f>'Cash Flow %s Yr2'!G102</f>
        <v>0.1</v>
      </c>
      <c r="H102" s="112">
        <f>'Cash Flow %s Yr2'!H102</f>
        <v>0.1</v>
      </c>
      <c r="I102" s="112">
        <f>'Cash Flow %s Yr2'!I102</f>
        <v>0.1</v>
      </c>
      <c r="J102" s="112">
        <f>'Cash Flow %s Yr2'!J102</f>
        <v>0.1</v>
      </c>
      <c r="K102" s="112">
        <f>'Cash Flow %s Yr2'!K102</f>
        <v>0.1</v>
      </c>
      <c r="L102" s="112">
        <f>'Cash Flow %s Yr2'!L102</f>
        <v>0.1</v>
      </c>
      <c r="M102" s="112">
        <f>'Cash Flow %s Yr2'!M102</f>
        <v>0.1</v>
      </c>
      <c r="N102" s="112">
        <f>'Cash Flow %s Yr2'!N102</f>
        <v>0.1</v>
      </c>
      <c r="O102" s="112">
        <f>'Cash Flow %s Yr2'!O102</f>
        <v>0.1</v>
      </c>
      <c r="P102" s="112">
        <f>'Cash Flow %s Yr2'!P102</f>
        <v>0</v>
      </c>
      <c r="Q102" s="112">
        <f>'Cash Flow %s Yr2'!Q102</f>
        <v>0</v>
      </c>
      <c r="R102" s="112">
        <f>'Cash Flow %s Yr2'!R102</f>
        <v>0</v>
      </c>
      <c r="S102" s="111">
        <f t="shared" si="8"/>
        <v>0.99999999999999989</v>
      </c>
    </row>
    <row r="103" spans="1:19" hidden="1" outlineLevel="1" x14ac:dyDescent="0.2">
      <c r="A103" s="36"/>
      <c r="B103" s="66">
        <f>'Expenses Summary'!B59</f>
        <v>0</v>
      </c>
      <c r="C103" s="66">
        <f>'Expenses Summary'!C59</f>
        <v>0</v>
      </c>
      <c r="D103" s="112">
        <f>'Cash Flow %s Yr2'!D103</f>
        <v>0</v>
      </c>
      <c r="E103" s="112">
        <f>'Cash Flow %s Yr2'!E103</f>
        <v>0</v>
      </c>
      <c r="F103" s="112">
        <f>'Cash Flow %s Yr2'!F103</f>
        <v>0.1</v>
      </c>
      <c r="G103" s="112">
        <f>'Cash Flow %s Yr2'!G103</f>
        <v>0.1</v>
      </c>
      <c r="H103" s="112">
        <f>'Cash Flow %s Yr2'!H103</f>
        <v>0.1</v>
      </c>
      <c r="I103" s="112">
        <f>'Cash Flow %s Yr2'!I103</f>
        <v>0.1</v>
      </c>
      <c r="J103" s="112">
        <f>'Cash Flow %s Yr2'!J103</f>
        <v>0.1</v>
      </c>
      <c r="K103" s="112">
        <f>'Cash Flow %s Yr2'!K103</f>
        <v>0.1</v>
      </c>
      <c r="L103" s="112">
        <f>'Cash Flow %s Yr2'!L103</f>
        <v>0.1</v>
      </c>
      <c r="M103" s="112">
        <f>'Cash Flow %s Yr2'!M103</f>
        <v>0.1</v>
      </c>
      <c r="N103" s="112">
        <f>'Cash Flow %s Yr2'!N103</f>
        <v>0.1</v>
      </c>
      <c r="O103" s="112">
        <f>'Cash Flow %s Yr2'!O103</f>
        <v>0.1</v>
      </c>
      <c r="P103" s="112">
        <f>'Cash Flow %s Yr2'!P103</f>
        <v>0</v>
      </c>
      <c r="Q103" s="112">
        <f>'Cash Flow %s Yr2'!Q103</f>
        <v>0</v>
      </c>
      <c r="R103" s="112">
        <f>'Cash Flow %s Yr2'!R103</f>
        <v>0</v>
      </c>
      <c r="S103" s="111">
        <f t="shared" si="8"/>
        <v>0.99999999999999989</v>
      </c>
    </row>
    <row r="104" spans="1:19" hidden="1" outlineLevel="1" x14ac:dyDescent="0.2">
      <c r="A104" s="36"/>
      <c r="B104" s="66">
        <f>'Expenses Summary'!B60</f>
        <v>0</v>
      </c>
      <c r="C104" s="66">
        <f>'Expenses Summary'!C60</f>
        <v>0</v>
      </c>
      <c r="D104" s="112">
        <f>'Cash Flow %s Yr2'!D104</f>
        <v>0</v>
      </c>
      <c r="E104" s="112">
        <f>'Cash Flow %s Yr2'!E104</f>
        <v>0</v>
      </c>
      <c r="F104" s="112">
        <f>'Cash Flow %s Yr2'!F104</f>
        <v>0.1</v>
      </c>
      <c r="G104" s="112">
        <f>'Cash Flow %s Yr2'!G104</f>
        <v>0.1</v>
      </c>
      <c r="H104" s="112">
        <f>'Cash Flow %s Yr2'!H104</f>
        <v>0.1</v>
      </c>
      <c r="I104" s="112">
        <f>'Cash Flow %s Yr2'!I104</f>
        <v>0.1</v>
      </c>
      <c r="J104" s="112">
        <f>'Cash Flow %s Yr2'!J104</f>
        <v>0.1</v>
      </c>
      <c r="K104" s="112">
        <f>'Cash Flow %s Yr2'!K104</f>
        <v>0.1</v>
      </c>
      <c r="L104" s="112">
        <f>'Cash Flow %s Yr2'!L104</f>
        <v>0.1</v>
      </c>
      <c r="M104" s="112">
        <f>'Cash Flow %s Yr2'!M104</f>
        <v>0.1</v>
      </c>
      <c r="N104" s="112">
        <f>'Cash Flow %s Yr2'!N104</f>
        <v>0.1</v>
      </c>
      <c r="O104" s="112">
        <f>'Cash Flow %s Yr2'!O104</f>
        <v>0.1</v>
      </c>
      <c r="P104" s="112">
        <f>'Cash Flow %s Yr2'!P104</f>
        <v>0</v>
      </c>
      <c r="Q104" s="112">
        <f>'Cash Flow %s Yr2'!Q104</f>
        <v>0</v>
      </c>
      <c r="R104" s="112">
        <f>'Cash Flow %s Yr2'!R104</f>
        <v>0</v>
      </c>
      <c r="S104" s="111">
        <f t="shared" si="8"/>
        <v>0.99999999999999989</v>
      </c>
    </row>
    <row r="105" spans="1:19" hidden="1" outlineLevel="1" x14ac:dyDescent="0.2">
      <c r="A105" s="36"/>
      <c r="B105" s="66">
        <f>'Expenses Summary'!B61</f>
        <v>0</v>
      </c>
      <c r="C105" s="66">
        <f>'Expenses Summary'!C61</f>
        <v>0</v>
      </c>
      <c r="D105" s="112">
        <f>'Cash Flow %s Yr2'!D105</f>
        <v>0</v>
      </c>
      <c r="E105" s="112">
        <f>'Cash Flow %s Yr2'!E105</f>
        <v>0</v>
      </c>
      <c r="F105" s="112">
        <f>'Cash Flow %s Yr2'!F105</f>
        <v>0.1</v>
      </c>
      <c r="G105" s="112">
        <f>'Cash Flow %s Yr2'!G105</f>
        <v>0.1</v>
      </c>
      <c r="H105" s="112">
        <f>'Cash Flow %s Yr2'!H105</f>
        <v>0.1</v>
      </c>
      <c r="I105" s="112">
        <f>'Cash Flow %s Yr2'!I105</f>
        <v>0.1</v>
      </c>
      <c r="J105" s="112">
        <f>'Cash Flow %s Yr2'!J105</f>
        <v>0.1</v>
      </c>
      <c r="K105" s="112">
        <f>'Cash Flow %s Yr2'!K105</f>
        <v>0.1</v>
      </c>
      <c r="L105" s="112">
        <f>'Cash Flow %s Yr2'!L105</f>
        <v>0.1</v>
      </c>
      <c r="M105" s="112">
        <f>'Cash Flow %s Yr2'!M105</f>
        <v>0.1</v>
      </c>
      <c r="N105" s="112">
        <f>'Cash Flow %s Yr2'!N105</f>
        <v>0.1</v>
      </c>
      <c r="O105" s="112">
        <f>'Cash Flow %s Yr2'!O105</f>
        <v>0.1</v>
      </c>
      <c r="P105" s="112">
        <f>'Cash Flow %s Yr2'!P105</f>
        <v>0</v>
      </c>
      <c r="Q105" s="112">
        <f>'Cash Flow %s Yr2'!Q105</f>
        <v>0</v>
      </c>
      <c r="R105" s="112">
        <f>'Cash Flow %s Yr2'!R105</f>
        <v>0</v>
      </c>
      <c r="S105" s="111">
        <f t="shared" si="8"/>
        <v>0.99999999999999989</v>
      </c>
    </row>
    <row r="106" spans="1:19" hidden="1" outlineLevel="1" x14ac:dyDescent="0.2">
      <c r="A106" s="36"/>
      <c r="B106" s="66">
        <f>'Expenses Summary'!B62</f>
        <v>0</v>
      </c>
      <c r="C106" s="66">
        <f>'Expenses Summary'!C62</f>
        <v>0</v>
      </c>
      <c r="D106" s="112">
        <f>'Cash Flow %s Yr2'!D106</f>
        <v>0</v>
      </c>
      <c r="E106" s="112">
        <f>'Cash Flow %s Yr2'!E106</f>
        <v>0</v>
      </c>
      <c r="F106" s="112">
        <f>'Cash Flow %s Yr2'!F106</f>
        <v>0.1</v>
      </c>
      <c r="G106" s="112">
        <f>'Cash Flow %s Yr2'!G106</f>
        <v>0.1</v>
      </c>
      <c r="H106" s="112">
        <f>'Cash Flow %s Yr2'!H106</f>
        <v>0.1</v>
      </c>
      <c r="I106" s="112">
        <f>'Cash Flow %s Yr2'!I106</f>
        <v>0.1</v>
      </c>
      <c r="J106" s="112">
        <f>'Cash Flow %s Yr2'!J106</f>
        <v>0.1</v>
      </c>
      <c r="K106" s="112">
        <f>'Cash Flow %s Yr2'!K106</f>
        <v>0.1</v>
      </c>
      <c r="L106" s="112">
        <f>'Cash Flow %s Yr2'!L106</f>
        <v>0.1</v>
      </c>
      <c r="M106" s="112">
        <f>'Cash Flow %s Yr2'!M106</f>
        <v>0.1</v>
      </c>
      <c r="N106" s="112">
        <f>'Cash Flow %s Yr2'!N106</f>
        <v>0.1</v>
      </c>
      <c r="O106" s="112">
        <f>'Cash Flow %s Yr2'!O106</f>
        <v>0.1</v>
      </c>
      <c r="P106" s="112">
        <f>'Cash Flow %s Yr2'!P106</f>
        <v>0</v>
      </c>
      <c r="Q106" s="112">
        <f>'Cash Flow %s Yr2'!Q106</f>
        <v>0</v>
      </c>
      <c r="R106" s="112">
        <f>'Cash Flow %s Yr2'!R106</f>
        <v>0</v>
      </c>
      <c r="S106" s="111">
        <f t="shared" si="8"/>
        <v>0.99999999999999989</v>
      </c>
    </row>
    <row r="107" spans="1:19" s="31" customFormat="1" collapsed="1" x14ac:dyDescent="0.2">
      <c r="A107" s="36"/>
      <c r="B107" s="66" t="str">
        <f>'Expenses Summary'!B63</f>
        <v>4700</v>
      </c>
      <c r="C107" s="66" t="str">
        <f>'Expenses Summary'!C63</f>
        <v>Food and Food Supplies</v>
      </c>
      <c r="D107" s="112">
        <f>'Cash Flow %s Yr2'!D107</f>
        <v>0</v>
      </c>
      <c r="E107" s="112">
        <f>'Cash Flow %s Yr2'!E107</f>
        <v>0</v>
      </c>
      <c r="F107" s="112">
        <f>'Cash Flow %s Yr2'!F107</f>
        <v>5.5E-2</v>
      </c>
      <c r="G107" s="112">
        <f>'Cash Flow %s Yr2'!G107</f>
        <v>0</v>
      </c>
      <c r="H107" s="112">
        <f>'Cash Flow %s Yr2'!H107</f>
        <v>0.1</v>
      </c>
      <c r="I107" s="112">
        <f>'Cash Flow %s Yr2'!I107</f>
        <v>0.1</v>
      </c>
      <c r="J107" s="112">
        <f>'Cash Flow %s Yr2'!J107</f>
        <v>0.1</v>
      </c>
      <c r="K107" s="112">
        <f>'Cash Flow %s Yr2'!K107</f>
        <v>0.1</v>
      </c>
      <c r="L107" s="112">
        <f>'Cash Flow %s Yr2'!L107</f>
        <v>0.1</v>
      </c>
      <c r="M107" s="112">
        <f>'Cash Flow %s Yr2'!M107</f>
        <v>0.1</v>
      </c>
      <c r="N107" s="112">
        <f>'Cash Flow %s Yr2'!N107</f>
        <v>0.1</v>
      </c>
      <c r="O107" s="112">
        <f>'Cash Flow %s Yr2'!O107</f>
        <v>0.1</v>
      </c>
      <c r="P107" s="112">
        <f>'Cash Flow %s Yr2'!P107</f>
        <v>0.1</v>
      </c>
      <c r="Q107" s="112">
        <f>'Cash Flow %s Yr2'!Q107</f>
        <v>4.4999999999999998E-2</v>
      </c>
      <c r="R107" s="112">
        <f>'Cash Flow %s Yr2'!R107</f>
        <v>0</v>
      </c>
      <c r="S107" s="111">
        <f>SUM(D107:R107)</f>
        <v>0.99999999999999989</v>
      </c>
    </row>
    <row r="108" spans="1:19" s="31" customFormat="1" x14ac:dyDescent="0.2">
      <c r="A108" s="36"/>
      <c r="B108" s="124"/>
      <c r="C108" s="93"/>
      <c r="D108" s="100"/>
      <c r="E108" s="100"/>
      <c r="F108" s="119"/>
      <c r="G108" s="119"/>
      <c r="H108" s="119"/>
      <c r="I108" s="119"/>
      <c r="J108" s="119"/>
      <c r="K108" s="119"/>
      <c r="L108" s="119"/>
      <c r="M108" s="119"/>
      <c r="N108" s="119"/>
      <c r="O108" s="119"/>
      <c r="P108" s="108"/>
      <c r="Q108" s="108"/>
      <c r="R108" s="108"/>
      <c r="S108" s="111"/>
    </row>
    <row r="109" spans="1:19" s="31" customFormat="1" x14ac:dyDescent="0.2">
      <c r="A109" s="36"/>
      <c r="B109" s="4"/>
      <c r="C109" s="3"/>
      <c r="D109" s="95"/>
      <c r="E109" s="95"/>
      <c r="F109" s="95"/>
      <c r="G109" s="95"/>
      <c r="H109" s="95"/>
      <c r="I109" s="95"/>
      <c r="J109" s="95"/>
      <c r="K109" s="95"/>
      <c r="L109" s="95"/>
      <c r="M109" s="95"/>
      <c r="N109" s="95"/>
      <c r="O109" s="95"/>
      <c r="P109" s="95"/>
      <c r="Q109" s="95"/>
      <c r="R109" s="95"/>
      <c r="S109" s="111"/>
    </row>
    <row r="110" spans="1:19" s="31" customFormat="1" x14ac:dyDescent="0.2">
      <c r="B110" s="5" t="s">
        <v>722</v>
      </c>
      <c r="C110" s="3"/>
      <c r="D110" s="95"/>
      <c r="E110" s="95"/>
      <c r="F110" s="95"/>
      <c r="G110" s="95"/>
      <c r="H110" s="95"/>
      <c r="I110" s="95"/>
      <c r="J110" s="95"/>
      <c r="K110" s="95"/>
      <c r="L110" s="95"/>
      <c r="M110" s="95"/>
      <c r="N110" s="95"/>
      <c r="O110" s="95"/>
      <c r="P110" s="95"/>
      <c r="Q110" s="95"/>
      <c r="R110" s="95"/>
      <c r="S110" s="111"/>
    </row>
    <row r="111" spans="1:19" s="31" customFormat="1" x14ac:dyDescent="0.2">
      <c r="A111" s="36"/>
      <c r="B111" s="66" t="str">
        <f>'Expenses Summary'!B67</f>
        <v>5200</v>
      </c>
      <c r="C111" s="66" t="str">
        <f>'Expenses Summary'!C67</f>
        <v>Travel and Conferences</v>
      </c>
      <c r="D111" s="112">
        <f>'Cash Flow %s Yr2'!D111</f>
        <v>0</v>
      </c>
      <c r="E111" s="112">
        <f>'Cash Flow %s Yr2'!E111</f>
        <v>0</v>
      </c>
      <c r="F111" s="112">
        <f>'Cash Flow %s Yr2'!F111</f>
        <v>0.3</v>
      </c>
      <c r="G111" s="112">
        <f>'Cash Flow %s Yr2'!G111</f>
        <v>0.1</v>
      </c>
      <c r="H111" s="112">
        <f>'Cash Flow %s Yr2'!H111</f>
        <v>0.1</v>
      </c>
      <c r="I111" s="112">
        <f>'Cash Flow %s Yr2'!I111</f>
        <v>0.1</v>
      </c>
      <c r="J111" s="112">
        <f>'Cash Flow %s Yr2'!J111</f>
        <v>0.1</v>
      </c>
      <c r="K111" s="112">
        <f>'Cash Flow %s Yr2'!K111</f>
        <v>0.1</v>
      </c>
      <c r="L111" s="112">
        <f>'Cash Flow %s Yr2'!L111</f>
        <v>0.1</v>
      </c>
      <c r="M111" s="112">
        <f>'Cash Flow %s Yr2'!M111</f>
        <v>0.1</v>
      </c>
      <c r="N111" s="112">
        <f>'Cash Flow %s Yr2'!N111</f>
        <v>0</v>
      </c>
      <c r="O111" s="112">
        <f>'Cash Flow %s Yr2'!O111</f>
        <v>0</v>
      </c>
      <c r="P111" s="112">
        <f>'Cash Flow %s Yr2'!P111</f>
        <v>0</v>
      </c>
      <c r="Q111" s="112">
        <f>'Cash Flow %s Yr2'!Q111</f>
        <v>0</v>
      </c>
      <c r="R111" s="112">
        <f>'Cash Flow %s Yr2'!R111</f>
        <v>0</v>
      </c>
      <c r="S111" s="111">
        <f t="shared" ref="S111:S141" si="9">SUM(D111:R111)</f>
        <v>0.99999999999999989</v>
      </c>
    </row>
    <row r="112" spans="1:19" s="31" customFormat="1" x14ac:dyDescent="0.2">
      <c r="A112" s="36"/>
      <c r="B112" s="66" t="str">
        <f>'Expenses Summary'!B68</f>
        <v>5210</v>
      </c>
      <c r="C112" s="66" t="str">
        <f>'Expenses Summary'!C68</f>
        <v>Training and Development Expense</v>
      </c>
      <c r="D112" s="112">
        <f>'Cash Flow %s Yr2'!D112</f>
        <v>0</v>
      </c>
      <c r="E112" s="112">
        <f>'Cash Flow %s Yr2'!E112</f>
        <v>0</v>
      </c>
      <c r="F112" s="112">
        <f>'Cash Flow %s Yr2'!F112</f>
        <v>0.9</v>
      </c>
      <c r="G112" s="112">
        <f>'Cash Flow %s Yr2'!G112</f>
        <v>0</v>
      </c>
      <c r="H112" s="112">
        <f>'Cash Flow %s Yr2'!H112</f>
        <v>0</v>
      </c>
      <c r="I112" s="112">
        <f>'Cash Flow %s Yr2'!I112</f>
        <v>0</v>
      </c>
      <c r="J112" s="112">
        <f>'Cash Flow %s Yr2'!J112</f>
        <v>0</v>
      </c>
      <c r="K112" s="112">
        <f>'Cash Flow %s Yr2'!K112</f>
        <v>0</v>
      </c>
      <c r="L112" s="112">
        <f>'Cash Flow %s Yr2'!L112</f>
        <v>0.1</v>
      </c>
      <c r="M112" s="112">
        <f>'Cash Flow %s Yr2'!M112</f>
        <v>0</v>
      </c>
      <c r="N112" s="112">
        <f>'Cash Flow %s Yr2'!N112</f>
        <v>0</v>
      </c>
      <c r="O112" s="112">
        <f>'Cash Flow %s Yr2'!O112</f>
        <v>0</v>
      </c>
      <c r="P112" s="112">
        <f>'Cash Flow %s Yr2'!P112</f>
        <v>0</v>
      </c>
      <c r="Q112" s="112">
        <f>'Cash Flow %s Yr2'!Q112</f>
        <v>0</v>
      </c>
      <c r="R112" s="112">
        <f>'Cash Flow %s Yr2'!R112</f>
        <v>0</v>
      </c>
      <c r="S112" s="111">
        <f t="shared" si="9"/>
        <v>1</v>
      </c>
    </row>
    <row r="113" spans="1:19" s="31" customFormat="1" x14ac:dyDescent="0.2">
      <c r="A113" s="36"/>
      <c r="B113" s="66" t="str">
        <f>'Expenses Summary'!B69</f>
        <v>5300</v>
      </c>
      <c r="C113" s="66" t="str">
        <f>'Expenses Summary'!C69</f>
        <v>Dues and Memberships</v>
      </c>
      <c r="D113" s="112">
        <f>'Cash Flow %s Yr2'!D113</f>
        <v>0</v>
      </c>
      <c r="E113" s="112">
        <f>'Cash Flow %s Yr2'!E113</f>
        <v>0</v>
      </c>
      <c r="F113" s="112">
        <f>'Cash Flow %s Yr2'!F113</f>
        <v>0.3</v>
      </c>
      <c r="G113" s="112">
        <f>'Cash Flow %s Yr2'!G113</f>
        <v>0.1</v>
      </c>
      <c r="H113" s="112">
        <f>'Cash Flow %s Yr2'!H113</f>
        <v>0.1</v>
      </c>
      <c r="I113" s="112">
        <f>'Cash Flow %s Yr2'!I113</f>
        <v>0.1</v>
      </c>
      <c r="J113" s="112">
        <f>'Cash Flow %s Yr2'!J113</f>
        <v>0.1</v>
      </c>
      <c r="K113" s="112">
        <f>'Cash Flow %s Yr2'!K113</f>
        <v>0.1</v>
      </c>
      <c r="L113" s="112">
        <f>'Cash Flow %s Yr2'!L113</f>
        <v>0.1</v>
      </c>
      <c r="M113" s="112">
        <f>'Cash Flow %s Yr2'!M113</f>
        <v>0.1</v>
      </c>
      <c r="N113" s="112">
        <f>'Cash Flow %s Yr2'!N113</f>
        <v>0</v>
      </c>
      <c r="O113" s="112">
        <f>'Cash Flow %s Yr2'!O113</f>
        <v>0</v>
      </c>
      <c r="P113" s="112">
        <f>'Cash Flow %s Yr2'!P113</f>
        <v>0</v>
      </c>
      <c r="Q113" s="112">
        <f>'Cash Flow %s Yr2'!Q113</f>
        <v>0</v>
      </c>
      <c r="R113" s="112">
        <f>'Cash Flow %s Yr2'!R113</f>
        <v>0</v>
      </c>
      <c r="S113" s="111">
        <f t="shared" si="9"/>
        <v>0.99999999999999989</v>
      </c>
    </row>
    <row r="114" spans="1:19" s="31" customFormat="1" x14ac:dyDescent="0.2">
      <c r="A114" s="36"/>
      <c r="B114" s="66" t="str">
        <f>'Expenses Summary'!B70</f>
        <v>5400</v>
      </c>
      <c r="C114" s="66" t="str">
        <f>'Expenses Summary'!C70</f>
        <v>Insurance</v>
      </c>
      <c r="D114" s="112">
        <f>'Cash Flow %s Yr2'!D114</f>
        <v>0</v>
      </c>
      <c r="E114" s="112">
        <f>'Cash Flow %s Yr2'!E114</f>
        <v>0</v>
      </c>
      <c r="F114" s="112">
        <f>'Cash Flow %s Yr2'!F114</f>
        <v>0.3</v>
      </c>
      <c r="G114" s="112">
        <f>'Cash Flow %s Yr2'!G114</f>
        <v>0.1</v>
      </c>
      <c r="H114" s="112">
        <f>'Cash Flow %s Yr2'!H114</f>
        <v>0.1</v>
      </c>
      <c r="I114" s="112">
        <f>'Cash Flow %s Yr2'!I114</f>
        <v>0.1</v>
      </c>
      <c r="J114" s="112">
        <f>'Cash Flow %s Yr2'!J114</f>
        <v>0.1</v>
      </c>
      <c r="K114" s="112">
        <f>'Cash Flow %s Yr2'!K114</f>
        <v>0.1</v>
      </c>
      <c r="L114" s="112">
        <f>'Cash Flow %s Yr2'!L114</f>
        <v>0.1</v>
      </c>
      <c r="M114" s="112">
        <f>'Cash Flow %s Yr2'!M114</f>
        <v>0.1</v>
      </c>
      <c r="N114" s="112">
        <f>'Cash Flow %s Yr2'!N114</f>
        <v>0</v>
      </c>
      <c r="O114" s="112">
        <f>'Cash Flow %s Yr2'!O114</f>
        <v>0</v>
      </c>
      <c r="P114" s="112">
        <f>'Cash Flow %s Yr2'!P114</f>
        <v>0</v>
      </c>
      <c r="Q114" s="112">
        <f>'Cash Flow %s Yr2'!Q114</f>
        <v>0</v>
      </c>
      <c r="R114" s="112">
        <f>'Cash Flow %s Yr2'!R114</f>
        <v>0</v>
      </c>
      <c r="S114" s="111">
        <f t="shared" si="9"/>
        <v>0.99999999999999989</v>
      </c>
    </row>
    <row r="115" spans="1:19" s="31" customFormat="1" x14ac:dyDescent="0.2">
      <c r="A115" s="36"/>
      <c r="B115" s="66" t="e">
        <f>'Expenses Summary'!#REF!</f>
        <v>#REF!</v>
      </c>
      <c r="C115" s="66" t="e">
        <f>'Expenses Summary'!#REF!</f>
        <v>#REF!</v>
      </c>
      <c r="D115" s="112">
        <f>'Cash Flow %s Yr2'!D115</f>
        <v>0</v>
      </c>
      <c r="E115" s="112">
        <f>'Cash Flow %s Yr2'!E115</f>
        <v>0</v>
      </c>
      <c r="F115" s="112">
        <f>'Cash Flow %s Yr2'!F115</f>
        <v>0.6</v>
      </c>
      <c r="G115" s="112">
        <f>'Cash Flow %s Yr2'!G115</f>
        <v>0</v>
      </c>
      <c r="H115" s="112">
        <f>'Cash Flow %s Yr2'!H115</f>
        <v>0</v>
      </c>
      <c r="I115" s="112">
        <f>'Cash Flow %s Yr2'!I115</f>
        <v>0</v>
      </c>
      <c r="J115" s="112">
        <f>'Cash Flow %s Yr2'!J115</f>
        <v>0.4</v>
      </c>
      <c r="K115" s="112">
        <f>'Cash Flow %s Yr2'!K115</f>
        <v>0</v>
      </c>
      <c r="L115" s="112">
        <f>'Cash Flow %s Yr2'!L115</f>
        <v>0</v>
      </c>
      <c r="M115" s="112">
        <f>'Cash Flow %s Yr2'!M115</f>
        <v>0</v>
      </c>
      <c r="N115" s="112">
        <f>'Cash Flow %s Yr2'!N115</f>
        <v>0</v>
      </c>
      <c r="O115" s="112">
        <f>'Cash Flow %s Yr2'!O115</f>
        <v>0</v>
      </c>
      <c r="P115" s="112">
        <f>'Cash Flow %s Yr2'!P115</f>
        <v>0</v>
      </c>
      <c r="Q115" s="112">
        <f>'Cash Flow %s Yr2'!Q115</f>
        <v>0</v>
      </c>
      <c r="R115" s="112">
        <f>'Cash Flow %s Yr2'!R115</f>
        <v>0</v>
      </c>
      <c r="S115" s="111">
        <f t="shared" si="9"/>
        <v>1</v>
      </c>
    </row>
    <row r="116" spans="1:19" s="31" customFormat="1" x14ac:dyDescent="0.2">
      <c r="A116" s="36"/>
      <c r="B116" s="66" t="str">
        <f>'Expenses Summary'!B71</f>
        <v>5500</v>
      </c>
      <c r="C116" s="66" t="str">
        <f>'Expenses Summary'!C71</f>
        <v>Operation and Housekeeping Services/Supplies</v>
      </c>
      <c r="D116" s="112">
        <f>'Cash Flow %s Yr2'!D116</f>
        <v>8.3000000000000004E-2</v>
      </c>
      <c r="E116" s="112">
        <f>'Cash Flow %s Yr2'!E116</f>
        <v>8.3000000000000004E-2</v>
      </c>
      <c r="F116" s="112">
        <f>'Cash Flow %s Yr2'!F116</f>
        <v>8.3000000000000004E-2</v>
      </c>
      <c r="G116" s="112">
        <f>'Cash Flow %s Yr2'!G116</f>
        <v>8.3000000000000004E-2</v>
      </c>
      <c r="H116" s="112">
        <f>'Cash Flow %s Yr2'!H116</f>
        <v>8.3000000000000004E-2</v>
      </c>
      <c r="I116" s="112">
        <f>'Cash Flow %s Yr2'!I116</f>
        <v>8.3000000000000004E-2</v>
      </c>
      <c r="J116" s="112">
        <f>'Cash Flow %s Yr2'!J116</f>
        <v>8.3000000000000004E-2</v>
      </c>
      <c r="K116" s="112">
        <f>'Cash Flow %s Yr2'!K116</f>
        <v>8.3000000000000004E-2</v>
      </c>
      <c r="L116" s="112">
        <f>'Cash Flow %s Yr2'!L116</f>
        <v>8.4000000000000005E-2</v>
      </c>
      <c r="M116" s="112">
        <f>'Cash Flow %s Yr2'!M116</f>
        <v>8.4000000000000005E-2</v>
      </c>
      <c r="N116" s="112">
        <f>'Cash Flow %s Yr2'!N116</f>
        <v>8.4000000000000005E-2</v>
      </c>
      <c r="O116" s="112">
        <f>'Cash Flow %s Yr2'!O116</f>
        <v>8.4000000000000005E-2</v>
      </c>
      <c r="P116" s="112">
        <f>'Cash Flow %s Yr2'!P116</f>
        <v>0</v>
      </c>
      <c r="Q116" s="112">
        <f>'Cash Flow %s Yr2'!Q116</f>
        <v>0</v>
      </c>
      <c r="R116" s="112">
        <f>'Cash Flow %s Yr2'!R116</f>
        <v>0</v>
      </c>
      <c r="S116" s="111">
        <f t="shared" si="9"/>
        <v>0.99999999999999989</v>
      </c>
    </row>
    <row r="117" spans="1:19" s="31" customFormat="1" x14ac:dyDescent="0.2">
      <c r="A117" s="36"/>
      <c r="B117" s="66" t="str">
        <f>'Expenses Summary'!B72</f>
        <v>5501</v>
      </c>
      <c r="C117" s="66" t="str">
        <f>'Expenses Summary'!C72</f>
        <v>Utilities</v>
      </c>
      <c r="D117" s="112">
        <f>'Cash Flow %s Yr2'!D117</f>
        <v>0</v>
      </c>
      <c r="E117" s="112">
        <f>'Cash Flow %s Yr2'!E117</f>
        <v>0</v>
      </c>
      <c r="F117" s="112">
        <f>'Cash Flow %s Yr2'!F117</f>
        <v>0.1</v>
      </c>
      <c r="G117" s="112">
        <f>'Cash Flow %s Yr2'!G117</f>
        <v>0.1</v>
      </c>
      <c r="H117" s="112">
        <f>'Cash Flow %s Yr2'!H117</f>
        <v>0.1</v>
      </c>
      <c r="I117" s="112">
        <f>'Cash Flow %s Yr2'!I117</f>
        <v>0.1</v>
      </c>
      <c r="J117" s="112">
        <f>'Cash Flow %s Yr2'!J117</f>
        <v>0.1</v>
      </c>
      <c r="K117" s="112">
        <f>'Cash Flow %s Yr2'!K117</f>
        <v>0.1</v>
      </c>
      <c r="L117" s="112">
        <f>'Cash Flow %s Yr2'!L117</f>
        <v>0.1</v>
      </c>
      <c r="M117" s="112">
        <f>'Cash Flow %s Yr2'!M117</f>
        <v>0.1</v>
      </c>
      <c r="N117" s="112">
        <f>'Cash Flow %s Yr2'!N117</f>
        <v>0.1</v>
      </c>
      <c r="O117" s="112">
        <f>'Cash Flow %s Yr2'!O117</f>
        <v>0.1</v>
      </c>
      <c r="P117" s="112">
        <f>'Cash Flow %s Yr2'!P117</f>
        <v>0</v>
      </c>
      <c r="Q117" s="112">
        <f>'Cash Flow %s Yr2'!Q117</f>
        <v>0</v>
      </c>
      <c r="R117" s="112">
        <f>'Cash Flow %s Yr2'!R117</f>
        <v>0</v>
      </c>
      <c r="S117" s="111">
        <f t="shared" si="9"/>
        <v>0.99999999999999989</v>
      </c>
    </row>
    <row r="118" spans="1:19" s="31" customFormat="1" x14ac:dyDescent="0.2">
      <c r="A118" s="36"/>
      <c r="B118" s="66" t="str">
        <f>'Expenses Summary'!B73</f>
        <v>5505</v>
      </c>
      <c r="C118" s="66" t="str">
        <f>'Expenses Summary'!C73</f>
        <v>Student Transportation / Field Trips</v>
      </c>
      <c r="D118" s="112">
        <f>'Cash Flow %s Yr2'!D118</f>
        <v>8.3000000000000004E-2</v>
      </c>
      <c r="E118" s="112">
        <f>'Cash Flow %s Yr2'!E118</f>
        <v>0.16700000000000001</v>
      </c>
      <c r="F118" s="112">
        <f>'Cash Flow %s Yr2'!F118</f>
        <v>8.3000000000000004E-2</v>
      </c>
      <c r="G118" s="112">
        <f>'Cash Flow %s Yr2'!G118</f>
        <v>8.3000000000000004E-2</v>
      </c>
      <c r="H118" s="112">
        <f>'Cash Flow %s Yr2'!H118</f>
        <v>8.3000000000000004E-2</v>
      </c>
      <c r="I118" s="112">
        <f>'Cash Flow %s Yr2'!I118</f>
        <v>8.3000000000000004E-2</v>
      </c>
      <c r="J118" s="112">
        <f>'Cash Flow %s Yr2'!J118</f>
        <v>8.3000000000000004E-2</v>
      </c>
      <c r="K118" s="112">
        <f>'Cash Flow %s Yr2'!K118</f>
        <v>8.3000000000000004E-2</v>
      </c>
      <c r="L118" s="112">
        <f>'Cash Flow %s Yr2'!L118</f>
        <v>8.4000000000000005E-2</v>
      </c>
      <c r="M118" s="112">
        <f>'Cash Flow %s Yr2'!M118</f>
        <v>8.4000000000000005E-2</v>
      </c>
      <c r="N118" s="112">
        <f>'Cash Flow %s Yr2'!N118</f>
        <v>8.4000000000000005E-2</v>
      </c>
      <c r="O118" s="112">
        <f>'Cash Flow %s Yr2'!O118</f>
        <v>0</v>
      </c>
      <c r="P118" s="112">
        <f>'Cash Flow %s Yr2'!P118</f>
        <v>0</v>
      </c>
      <c r="Q118" s="112">
        <f>'Cash Flow %s Yr2'!Q118</f>
        <v>0</v>
      </c>
      <c r="R118" s="112">
        <f>'Cash Flow %s Yr2'!R118</f>
        <v>0</v>
      </c>
      <c r="S118" s="111">
        <f t="shared" si="9"/>
        <v>0.99999999999999989</v>
      </c>
    </row>
    <row r="119" spans="1:19" s="31" customFormat="1" x14ac:dyDescent="0.2">
      <c r="A119" s="36"/>
      <c r="B119" s="66" t="str">
        <f>'Expenses Summary'!B74</f>
        <v>5600</v>
      </c>
      <c r="C119" s="66" t="str">
        <f>'Expenses Summary'!C74</f>
        <v>Space Rental/Leases Expense</v>
      </c>
      <c r="D119" s="112">
        <f>'Cash Flow %s Yr2'!D119</f>
        <v>0.05</v>
      </c>
      <c r="E119" s="112">
        <f>'Cash Flow %s Yr2'!E119</f>
        <v>0.05</v>
      </c>
      <c r="F119" s="112">
        <f>'Cash Flow %s Yr2'!F119</f>
        <v>0.09</v>
      </c>
      <c r="G119" s="112">
        <f>'Cash Flow %s Yr2'!G119</f>
        <v>0.09</v>
      </c>
      <c r="H119" s="112">
        <f>'Cash Flow %s Yr2'!H119</f>
        <v>0.09</v>
      </c>
      <c r="I119" s="112">
        <f>'Cash Flow %s Yr2'!I119</f>
        <v>0.09</v>
      </c>
      <c r="J119" s="112">
        <f>'Cash Flow %s Yr2'!J119</f>
        <v>0.09</v>
      </c>
      <c r="K119" s="112">
        <f>'Cash Flow %s Yr2'!K119</f>
        <v>0.09</v>
      </c>
      <c r="L119" s="112">
        <f>'Cash Flow %s Yr2'!L119</f>
        <v>0.09</v>
      </c>
      <c r="M119" s="112">
        <f>'Cash Flow %s Yr2'!M119</f>
        <v>0.09</v>
      </c>
      <c r="N119" s="112">
        <f>'Cash Flow %s Yr2'!N119</f>
        <v>0.09</v>
      </c>
      <c r="O119" s="112">
        <f>'Cash Flow %s Yr2'!O119</f>
        <v>0.09</v>
      </c>
      <c r="P119" s="112">
        <f>'Cash Flow %s Yr2'!P119</f>
        <v>0</v>
      </c>
      <c r="Q119" s="112">
        <f>'Cash Flow %s Yr2'!Q119</f>
        <v>0</v>
      </c>
      <c r="R119" s="112">
        <f>'Cash Flow %s Yr2'!R119</f>
        <v>0</v>
      </c>
      <c r="S119" s="111">
        <f t="shared" si="9"/>
        <v>0.99999999999999978</v>
      </c>
    </row>
    <row r="120" spans="1:19" s="31" customFormat="1" x14ac:dyDescent="0.2">
      <c r="A120" s="36"/>
      <c r="B120" s="66" t="str">
        <f>'Expenses Summary'!B75</f>
        <v>5601</v>
      </c>
      <c r="C120" s="66" t="str">
        <f>'Expenses Summary'!C75</f>
        <v>Building Maintenance</v>
      </c>
      <c r="D120" s="112">
        <f>'Cash Flow %s Yr2'!D120</f>
        <v>8.3000000000000004E-2</v>
      </c>
      <c r="E120" s="112">
        <f>'Cash Flow %s Yr2'!E120</f>
        <v>8.3000000000000004E-2</v>
      </c>
      <c r="F120" s="112">
        <f>'Cash Flow %s Yr2'!F120</f>
        <v>8.3000000000000004E-2</v>
      </c>
      <c r="G120" s="112">
        <f>'Cash Flow %s Yr2'!G120</f>
        <v>8.3000000000000004E-2</v>
      </c>
      <c r="H120" s="112">
        <f>'Cash Flow %s Yr2'!H120</f>
        <v>8.3000000000000004E-2</v>
      </c>
      <c r="I120" s="112">
        <f>'Cash Flow %s Yr2'!I120</f>
        <v>8.3000000000000004E-2</v>
      </c>
      <c r="J120" s="112">
        <f>'Cash Flow %s Yr2'!J120</f>
        <v>8.3000000000000004E-2</v>
      </c>
      <c r="K120" s="112">
        <f>'Cash Flow %s Yr2'!K120</f>
        <v>8.3000000000000004E-2</v>
      </c>
      <c r="L120" s="112">
        <f>'Cash Flow %s Yr2'!L120</f>
        <v>8.4000000000000005E-2</v>
      </c>
      <c r="M120" s="112">
        <f>'Cash Flow %s Yr2'!M120</f>
        <v>8.4000000000000005E-2</v>
      </c>
      <c r="N120" s="112">
        <f>'Cash Flow %s Yr2'!N120</f>
        <v>8.4000000000000005E-2</v>
      </c>
      <c r="O120" s="112">
        <f>'Cash Flow %s Yr2'!O120</f>
        <v>8.4000000000000005E-2</v>
      </c>
      <c r="P120" s="112">
        <f>'Cash Flow %s Yr2'!P120</f>
        <v>0</v>
      </c>
      <c r="Q120" s="112">
        <f>'Cash Flow %s Yr2'!Q120</f>
        <v>0</v>
      </c>
      <c r="R120" s="112">
        <f>'Cash Flow %s Yr2'!R120</f>
        <v>0</v>
      </c>
      <c r="S120" s="111">
        <f t="shared" si="9"/>
        <v>0.99999999999999989</v>
      </c>
    </row>
    <row r="121" spans="1:19" s="31" customFormat="1" x14ac:dyDescent="0.2">
      <c r="A121" s="36"/>
      <c r="B121" s="66" t="str">
        <f>'Expenses Summary'!B76</f>
        <v>5602</v>
      </c>
      <c r="C121" s="66" t="str">
        <f>'Expenses Summary'!C76</f>
        <v>Other Space Rental</v>
      </c>
      <c r="D121" s="112">
        <f>'Cash Flow %s Yr2'!D121</f>
        <v>8.3000000000000004E-2</v>
      </c>
      <c r="E121" s="112">
        <f>'Cash Flow %s Yr2'!E121</f>
        <v>8.3000000000000004E-2</v>
      </c>
      <c r="F121" s="112">
        <f>'Cash Flow %s Yr2'!F121</f>
        <v>8.3000000000000004E-2</v>
      </c>
      <c r="G121" s="112">
        <f>'Cash Flow %s Yr2'!G121</f>
        <v>8.3000000000000004E-2</v>
      </c>
      <c r="H121" s="112">
        <f>'Cash Flow %s Yr2'!H121</f>
        <v>8.3000000000000004E-2</v>
      </c>
      <c r="I121" s="112">
        <f>'Cash Flow %s Yr2'!I121</f>
        <v>8.3000000000000004E-2</v>
      </c>
      <c r="J121" s="112">
        <f>'Cash Flow %s Yr2'!J121</f>
        <v>8.3000000000000004E-2</v>
      </c>
      <c r="K121" s="112">
        <f>'Cash Flow %s Yr2'!K121</f>
        <v>8.3000000000000004E-2</v>
      </c>
      <c r="L121" s="112">
        <f>'Cash Flow %s Yr2'!L121</f>
        <v>8.4000000000000005E-2</v>
      </c>
      <c r="M121" s="112">
        <f>'Cash Flow %s Yr2'!M121</f>
        <v>8.4000000000000005E-2</v>
      </c>
      <c r="N121" s="112">
        <f>'Cash Flow %s Yr2'!N121</f>
        <v>8.4000000000000005E-2</v>
      </c>
      <c r="O121" s="112">
        <f>'Cash Flow %s Yr2'!O121</f>
        <v>8.4000000000000005E-2</v>
      </c>
      <c r="P121" s="112">
        <f>'Cash Flow %s Yr2'!P121</f>
        <v>0</v>
      </c>
      <c r="Q121" s="112">
        <f>'Cash Flow %s Yr2'!Q121</f>
        <v>0</v>
      </c>
      <c r="R121" s="112">
        <f>'Cash Flow %s Yr2'!R121</f>
        <v>0</v>
      </c>
      <c r="S121" s="111">
        <f t="shared" si="9"/>
        <v>0.99999999999999989</v>
      </c>
    </row>
    <row r="122" spans="1:19" s="31" customFormat="1" x14ac:dyDescent="0.2">
      <c r="A122" s="36"/>
      <c r="B122" s="66" t="str">
        <f>'Expenses Summary'!B77</f>
        <v>5605</v>
      </c>
      <c r="C122" s="66" t="str">
        <f>'Expenses Summary'!C77</f>
        <v>Equipment Rental/Lease Expense</v>
      </c>
      <c r="D122" s="112">
        <f>'Cash Flow %s Yr2'!D122</f>
        <v>0</v>
      </c>
      <c r="E122" s="112">
        <f>'Cash Flow %s Yr2'!E122</f>
        <v>0</v>
      </c>
      <c r="F122" s="112">
        <f>'Cash Flow %s Yr2'!F122</f>
        <v>0.1</v>
      </c>
      <c r="G122" s="112">
        <f>'Cash Flow %s Yr2'!G122</f>
        <v>0.1</v>
      </c>
      <c r="H122" s="112">
        <f>'Cash Flow %s Yr2'!H122</f>
        <v>0.1</v>
      </c>
      <c r="I122" s="112">
        <f>'Cash Flow %s Yr2'!I122</f>
        <v>0.1</v>
      </c>
      <c r="J122" s="112">
        <f>'Cash Flow %s Yr2'!J122</f>
        <v>0.1</v>
      </c>
      <c r="K122" s="112">
        <f>'Cash Flow %s Yr2'!K122</f>
        <v>0.1</v>
      </c>
      <c r="L122" s="112">
        <f>'Cash Flow %s Yr2'!L122</f>
        <v>0.1</v>
      </c>
      <c r="M122" s="112">
        <f>'Cash Flow %s Yr2'!M122</f>
        <v>0.1</v>
      </c>
      <c r="N122" s="112">
        <f>'Cash Flow %s Yr2'!N122</f>
        <v>0.1</v>
      </c>
      <c r="O122" s="112">
        <f>'Cash Flow %s Yr2'!O122</f>
        <v>0.1</v>
      </c>
      <c r="P122" s="112">
        <f>'Cash Flow %s Yr2'!P122</f>
        <v>0</v>
      </c>
      <c r="Q122" s="112">
        <f>'Cash Flow %s Yr2'!Q122</f>
        <v>0</v>
      </c>
      <c r="R122" s="112">
        <f>'Cash Flow %s Yr2'!R122</f>
        <v>0</v>
      </c>
      <c r="S122" s="111">
        <f t="shared" si="9"/>
        <v>0.99999999999999989</v>
      </c>
    </row>
    <row r="123" spans="1:19" s="31" customFormat="1" x14ac:dyDescent="0.2">
      <c r="A123" s="36"/>
      <c r="B123" s="66" t="str">
        <f>'Expenses Summary'!B78</f>
        <v>5610</v>
      </c>
      <c r="C123" s="66" t="str">
        <f>'Expenses Summary'!C78</f>
        <v>Equipment Repair</v>
      </c>
      <c r="D123" s="112">
        <f>'Cash Flow %s Yr2'!D123</f>
        <v>8.3000000000000004E-2</v>
      </c>
      <c r="E123" s="112">
        <f>'Cash Flow %s Yr2'!E123</f>
        <v>8.3000000000000004E-2</v>
      </c>
      <c r="F123" s="112">
        <f>'Cash Flow %s Yr2'!F123</f>
        <v>8.3000000000000004E-2</v>
      </c>
      <c r="G123" s="112">
        <f>'Cash Flow %s Yr2'!G123</f>
        <v>8.3000000000000004E-2</v>
      </c>
      <c r="H123" s="112">
        <f>'Cash Flow %s Yr2'!H123</f>
        <v>8.3000000000000004E-2</v>
      </c>
      <c r="I123" s="112">
        <f>'Cash Flow %s Yr2'!I123</f>
        <v>8.3000000000000004E-2</v>
      </c>
      <c r="J123" s="112">
        <f>'Cash Flow %s Yr2'!J123</f>
        <v>8.3000000000000004E-2</v>
      </c>
      <c r="K123" s="112">
        <f>'Cash Flow %s Yr2'!K123</f>
        <v>8.3000000000000004E-2</v>
      </c>
      <c r="L123" s="112">
        <f>'Cash Flow %s Yr2'!L123</f>
        <v>8.4000000000000005E-2</v>
      </c>
      <c r="M123" s="112">
        <f>'Cash Flow %s Yr2'!M123</f>
        <v>8.4000000000000005E-2</v>
      </c>
      <c r="N123" s="112">
        <f>'Cash Flow %s Yr2'!N123</f>
        <v>8.4000000000000005E-2</v>
      </c>
      <c r="O123" s="112">
        <f>'Cash Flow %s Yr2'!O123</f>
        <v>8.4000000000000005E-2</v>
      </c>
      <c r="P123" s="112">
        <f>'Cash Flow %s Yr2'!P123</f>
        <v>0</v>
      </c>
      <c r="Q123" s="112">
        <f>'Cash Flow %s Yr2'!Q123</f>
        <v>0</v>
      </c>
      <c r="R123" s="112">
        <f>'Cash Flow %s Yr2'!R123</f>
        <v>0</v>
      </c>
      <c r="S123" s="111">
        <f t="shared" si="9"/>
        <v>0.99999999999999989</v>
      </c>
    </row>
    <row r="124" spans="1:19" s="31" customFormat="1" x14ac:dyDescent="0.2">
      <c r="A124" s="36"/>
      <c r="B124" s="66" t="str">
        <f>'Expenses Summary'!B79</f>
        <v>5800</v>
      </c>
      <c r="C124" s="66" t="str">
        <f>'Expenses Summary'!C79</f>
        <v>Professional/Consulting Services and Operating Expenditures</v>
      </c>
      <c r="D124" s="112">
        <f>'Cash Flow %s Yr2'!D124</f>
        <v>0.05</v>
      </c>
      <c r="E124" s="112">
        <f>'Cash Flow %s Yr2'!E124</f>
        <v>0.05</v>
      </c>
      <c r="F124" s="112">
        <f>'Cash Flow %s Yr2'!F124</f>
        <v>0.09</v>
      </c>
      <c r="G124" s="112">
        <f>'Cash Flow %s Yr2'!G124</f>
        <v>0.09</v>
      </c>
      <c r="H124" s="112">
        <f>'Cash Flow %s Yr2'!H124</f>
        <v>0.09</v>
      </c>
      <c r="I124" s="112">
        <f>'Cash Flow %s Yr2'!I124</f>
        <v>0.09</v>
      </c>
      <c r="J124" s="112">
        <f>'Cash Flow %s Yr2'!J124</f>
        <v>0.09</v>
      </c>
      <c r="K124" s="112">
        <f>'Cash Flow %s Yr2'!K124</f>
        <v>0.09</v>
      </c>
      <c r="L124" s="112">
        <f>'Cash Flow %s Yr2'!L124</f>
        <v>0.09</v>
      </c>
      <c r="M124" s="112">
        <f>'Cash Flow %s Yr2'!M124</f>
        <v>0.09</v>
      </c>
      <c r="N124" s="112">
        <f>'Cash Flow %s Yr2'!N124</f>
        <v>0.09</v>
      </c>
      <c r="O124" s="112">
        <f>'Cash Flow %s Yr2'!O124</f>
        <v>0.09</v>
      </c>
      <c r="P124" s="112">
        <f>'Cash Flow %s Yr2'!P124</f>
        <v>0</v>
      </c>
      <c r="Q124" s="112">
        <f>'Cash Flow %s Yr2'!Q124</f>
        <v>0</v>
      </c>
      <c r="R124" s="112">
        <f>'Cash Flow %s Yr2'!R124</f>
        <v>0</v>
      </c>
      <c r="S124" s="111">
        <f t="shared" si="9"/>
        <v>0.99999999999999978</v>
      </c>
    </row>
    <row r="125" spans="1:19" s="31" customFormat="1" x14ac:dyDescent="0.2">
      <c r="A125" s="36"/>
      <c r="B125" s="66" t="str">
        <f>'Expenses Summary'!B80</f>
        <v>5803</v>
      </c>
      <c r="C125" s="66" t="str">
        <f>'Expenses Summary'!C80</f>
        <v>Banking and Payroll Service Fees</v>
      </c>
      <c r="D125" s="112">
        <f>'Cash Flow %s Yr2'!D125</f>
        <v>0.05</v>
      </c>
      <c r="E125" s="112">
        <f>'Cash Flow %s Yr2'!E125</f>
        <v>0.05</v>
      </c>
      <c r="F125" s="112">
        <f>'Cash Flow %s Yr2'!F125</f>
        <v>0.09</v>
      </c>
      <c r="G125" s="112">
        <f>'Cash Flow %s Yr2'!G125</f>
        <v>0.09</v>
      </c>
      <c r="H125" s="112">
        <f>'Cash Flow %s Yr2'!H125</f>
        <v>0.09</v>
      </c>
      <c r="I125" s="112">
        <f>'Cash Flow %s Yr2'!I125</f>
        <v>0.09</v>
      </c>
      <c r="J125" s="112">
        <f>'Cash Flow %s Yr2'!J125</f>
        <v>0.09</v>
      </c>
      <c r="K125" s="112">
        <f>'Cash Flow %s Yr2'!K125</f>
        <v>0.09</v>
      </c>
      <c r="L125" s="112">
        <f>'Cash Flow %s Yr2'!L125</f>
        <v>0.09</v>
      </c>
      <c r="M125" s="112">
        <f>'Cash Flow %s Yr2'!M125</f>
        <v>0.09</v>
      </c>
      <c r="N125" s="112">
        <f>'Cash Flow %s Yr2'!N125</f>
        <v>0.09</v>
      </c>
      <c r="O125" s="112">
        <f>'Cash Flow %s Yr2'!O125</f>
        <v>0.09</v>
      </c>
      <c r="P125" s="112">
        <f>'Cash Flow %s Yr2'!P125</f>
        <v>0</v>
      </c>
      <c r="Q125" s="112">
        <f>'Cash Flow %s Yr2'!Q125</f>
        <v>0</v>
      </c>
      <c r="R125" s="112">
        <f>'Cash Flow %s Yr2'!R125</f>
        <v>0</v>
      </c>
      <c r="S125" s="111">
        <f t="shared" si="9"/>
        <v>0.99999999999999978</v>
      </c>
    </row>
    <row r="126" spans="1:19" s="31" customFormat="1" x14ac:dyDescent="0.2">
      <c r="A126" s="36"/>
      <c r="B126" s="66" t="str">
        <f>'Expenses Summary'!B81</f>
        <v>5805</v>
      </c>
      <c r="C126" s="66" t="str">
        <f>'Expenses Summary'!C81</f>
        <v>Legal Services and Audit</v>
      </c>
      <c r="D126" s="112">
        <f>'Cash Flow %s Yr2'!D126</f>
        <v>0</v>
      </c>
      <c r="E126" s="112">
        <f>'Cash Flow %s Yr2'!E126</f>
        <v>0</v>
      </c>
      <c r="F126" s="112">
        <f>'Cash Flow %s Yr2'!F126</f>
        <v>0</v>
      </c>
      <c r="G126" s="112">
        <f>'Cash Flow %s Yr2'!G126</f>
        <v>0</v>
      </c>
      <c r="H126" s="112">
        <f>'Cash Flow %s Yr2'!H126</f>
        <v>0.125</v>
      </c>
      <c r="I126" s="112">
        <f>'Cash Flow %s Yr2'!I126</f>
        <v>0.125</v>
      </c>
      <c r="J126" s="112">
        <f>'Cash Flow %s Yr2'!J126</f>
        <v>0.125</v>
      </c>
      <c r="K126" s="112">
        <f>'Cash Flow %s Yr2'!K126</f>
        <v>0.125</v>
      </c>
      <c r="L126" s="112">
        <f>'Cash Flow %s Yr2'!L126</f>
        <v>0.125</v>
      </c>
      <c r="M126" s="112">
        <f>'Cash Flow %s Yr2'!M126</f>
        <v>0.125</v>
      </c>
      <c r="N126" s="112">
        <f>'Cash Flow %s Yr2'!N126</f>
        <v>0.125</v>
      </c>
      <c r="O126" s="112">
        <f>'Cash Flow %s Yr2'!O126</f>
        <v>0.125</v>
      </c>
      <c r="P126" s="112">
        <f>'Cash Flow %s Yr2'!P126</f>
        <v>0</v>
      </c>
      <c r="Q126" s="112">
        <f>'Cash Flow %s Yr2'!Q126</f>
        <v>0</v>
      </c>
      <c r="R126" s="112">
        <f>'Cash Flow %s Yr2'!R126</f>
        <v>0</v>
      </c>
      <c r="S126" s="111">
        <f t="shared" si="9"/>
        <v>1</v>
      </c>
    </row>
    <row r="127" spans="1:19" s="31" customFormat="1" x14ac:dyDescent="0.2">
      <c r="A127" s="36"/>
      <c r="B127" s="66" t="str">
        <f>'Expenses Summary'!B82</f>
        <v>5810</v>
      </c>
      <c r="C127" s="66" t="str">
        <f>'Expenses Summary'!C82</f>
        <v>Educational Consultants</v>
      </c>
      <c r="D127" s="112">
        <f>'Cash Flow %s Yr2'!D127</f>
        <v>0.05</v>
      </c>
      <c r="E127" s="112">
        <f>'Cash Flow %s Yr2'!E127</f>
        <v>0.05</v>
      </c>
      <c r="F127" s="112">
        <f>'Cash Flow %s Yr2'!F127</f>
        <v>0.09</v>
      </c>
      <c r="G127" s="112">
        <f>'Cash Flow %s Yr2'!G127</f>
        <v>0.09</v>
      </c>
      <c r="H127" s="112">
        <f>'Cash Flow %s Yr2'!H127</f>
        <v>0.09</v>
      </c>
      <c r="I127" s="112">
        <f>'Cash Flow %s Yr2'!I127</f>
        <v>0.09</v>
      </c>
      <c r="J127" s="112">
        <f>'Cash Flow %s Yr2'!J127</f>
        <v>0.09</v>
      </c>
      <c r="K127" s="112">
        <f>'Cash Flow %s Yr2'!K127</f>
        <v>0.09</v>
      </c>
      <c r="L127" s="112">
        <f>'Cash Flow %s Yr2'!L127</f>
        <v>0.09</v>
      </c>
      <c r="M127" s="112">
        <f>'Cash Flow %s Yr2'!M127</f>
        <v>0.09</v>
      </c>
      <c r="N127" s="112">
        <f>'Cash Flow %s Yr2'!N127</f>
        <v>0.09</v>
      </c>
      <c r="O127" s="112">
        <f>'Cash Flow %s Yr2'!O127</f>
        <v>0.09</v>
      </c>
      <c r="P127" s="112">
        <f>'Cash Flow %s Yr2'!P127</f>
        <v>0</v>
      </c>
      <c r="Q127" s="112">
        <f>'Cash Flow %s Yr2'!Q127</f>
        <v>0</v>
      </c>
      <c r="R127" s="112">
        <f>'Cash Flow %s Yr2'!R127</f>
        <v>0</v>
      </c>
      <c r="S127" s="111">
        <f t="shared" si="9"/>
        <v>0.99999999999999978</v>
      </c>
    </row>
    <row r="128" spans="1:19" s="31" customFormat="1" x14ac:dyDescent="0.2">
      <c r="A128" s="36"/>
      <c r="B128" s="66" t="str">
        <f>'Expenses Summary'!B83</f>
        <v>5815</v>
      </c>
      <c r="C128" s="66" t="str">
        <f>'Expenses Summary'!C83</f>
        <v>Advertising / Recruiting</v>
      </c>
      <c r="D128" s="112">
        <f>'Cash Flow %s Yr2'!D128</f>
        <v>0</v>
      </c>
      <c r="E128" s="112">
        <f>'Cash Flow %s Yr2'!E128</f>
        <v>0</v>
      </c>
      <c r="F128" s="112">
        <f>'Cash Flow %s Yr2'!F128</f>
        <v>0.1</v>
      </c>
      <c r="G128" s="112">
        <f>'Cash Flow %s Yr2'!G128</f>
        <v>0.1</v>
      </c>
      <c r="H128" s="112">
        <f>'Cash Flow %s Yr2'!H128</f>
        <v>0.1</v>
      </c>
      <c r="I128" s="112">
        <f>'Cash Flow %s Yr2'!I128</f>
        <v>0.1</v>
      </c>
      <c r="J128" s="112">
        <f>'Cash Flow %s Yr2'!J128</f>
        <v>0.1</v>
      </c>
      <c r="K128" s="112">
        <f>'Cash Flow %s Yr2'!K128</f>
        <v>0.1</v>
      </c>
      <c r="L128" s="112">
        <f>'Cash Flow %s Yr2'!L128</f>
        <v>0.1</v>
      </c>
      <c r="M128" s="112">
        <f>'Cash Flow %s Yr2'!M128</f>
        <v>0.1</v>
      </c>
      <c r="N128" s="112">
        <f>'Cash Flow %s Yr2'!N128</f>
        <v>0.1</v>
      </c>
      <c r="O128" s="112">
        <f>'Cash Flow %s Yr2'!O128</f>
        <v>0.1</v>
      </c>
      <c r="P128" s="112">
        <f>'Cash Flow %s Yr2'!P128</f>
        <v>0</v>
      </c>
      <c r="Q128" s="112">
        <f>'Cash Flow %s Yr2'!Q128</f>
        <v>0</v>
      </c>
      <c r="R128" s="112">
        <f>'Cash Flow %s Yr2'!R128</f>
        <v>0</v>
      </c>
      <c r="S128" s="111">
        <f t="shared" si="9"/>
        <v>0.99999999999999989</v>
      </c>
    </row>
    <row r="129" spans="1:19" s="31" customFormat="1" x14ac:dyDescent="0.2">
      <c r="A129" s="36"/>
      <c r="B129" s="66" t="str">
        <f>'Expenses Summary'!B84</f>
        <v>5820</v>
      </c>
      <c r="C129" s="66" t="str">
        <f>'Expenses Summary'!C84</f>
        <v>Fundraising Expense</v>
      </c>
      <c r="D129" s="112">
        <f>'Cash Flow %s Yr2'!D129</f>
        <v>0</v>
      </c>
      <c r="E129" s="112">
        <f>'Cash Flow %s Yr2'!E129</f>
        <v>0</v>
      </c>
      <c r="F129" s="112">
        <f>'Cash Flow %s Yr2'!F129</f>
        <v>0.1</v>
      </c>
      <c r="G129" s="112">
        <f>'Cash Flow %s Yr2'!G129</f>
        <v>0.1</v>
      </c>
      <c r="H129" s="112">
        <f>'Cash Flow %s Yr2'!H129</f>
        <v>0.1</v>
      </c>
      <c r="I129" s="112">
        <f>'Cash Flow %s Yr2'!I129</f>
        <v>0.1</v>
      </c>
      <c r="J129" s="112">
        <f>'Cash Flow %s Yr2'!J129</f>
        <v>0.1</v>
      </c>
      <c r="K129" s="112">
        <f>'Cash Flow %s Yr2'!K129</f>
        <v>0.1</v>
      </c>
      <c r="L129" s="112">
        <f>'Cash Flow %s Yr2'!L129</f>
        <v>0.1</v>
      </c>
      <c r="M129" s="112">
        <f>'Cash Flow %s Yr2'!M129</f>
        <v>0.1</v>
      </c>
      <c r="N129" s="112">
        <f>'Cash Flow %s Yr2'!N129</f>
        <v>0.1</v>
      </c>
      <c r="O129" s="112">
        <f>'Cash Flow %s Yr2'!O129</f>
        <v>0.1</v>
      </c>
      <c r="P129" s="112">
        <f>'Cash Flow %s Yr2'!P129</f>
        <v>0</v>
      </c>
      <c r="Q129" s="112">
        <f>'Cash Flow %s Yr2'!Q129</f>
        <v>0</v>
      </c>
      <c r="R129" s="112">
        <f>'Cash Flow %s Yr2'!R129</f>
        <v>0</v>
      </c>
      <c r="S129" s="111">
        <f t="shared" si="9"/>
        <v>0.99999999999999989</v>
      </c>
    </row>
    <row r="130" spans="1:19" s="31" customFormat="1" x14ac:dyDescent="0.2">
      <c r="A130" s="36"/>
      <c r="B130" s="66" t="str">
        <f>'Expenses Summary'!B85</f>
        <v>5875</v>
      </c>
      <c r="C130" s="66" t="str">
        <f>'Expenses Summary'!C85</f>
        <v>District Oversight Fee</v>
      </c>
      <c r="D130" s="112">
        <f>'Cash Flow %s Yr2'!D130</f>
        <v>0.23704389000000001</v>
      </c>
      <c r="E130" s="112">
        <f>'Cash Flow %s Yr2'!E130</f>
        <v>0</v>
      </c>
      <c r="F130" s="112">
        <f>'Cash Flow %s Yr2'!F130</f>
        <v>0</v>
      </c>
      <c r="G130" s="112">
        <f>'Cash Flow %s Yr2'!G130</f>
        <v>0</v>
      </c>
      <c r="H130" s="112">
        <f>'Cash Flow %s Yr2'!H130</f>
        <v>0.184235654</v>
      </c>
      <c r="I130" s="112">
        <f>'Cash Flow %s Yr2'!I130</f>
        <v>0</v>
      </c>
      <c r="J130" s="112">
        <f>'Cash Flow %s Yr2'!J130</f>
        <v>0.28936000000000001</v>
      </c>
      <c r="K130" s="112">
        <f>'Cash Flow %s Yr2'!K130</f>
        <v>0</v>
      </c>
      <c r="L130" s="112">
        <f>'Cash Flow %s Yr2'!L130</f>
        <v>0</v>
      </c>
      <c r="M130" s="112">
        <f>'Cash Flow %s Yr2'!M130</f>
        <v>0.28936000000000001</v>
      </c>
      <c r="N130" s="112">
        <f>'Cash Flow %s Yr2'!N130</f>
        <v>0</v>
      </c>
      <c r="O130" s="112">
        <f>'Cash Flow %s Yr2'!O130</f>
        <v>0</v>
      </c>
      <c r="P130" s="112">
        <f>'Cash Flow %s Yr2'!P130</f>
        <v>0</v>
      </c>
      <c r="Q130" s="112">
        <f>'Cash Flow %s Yr2'!Q130</f>
        <v>0</v>
      </c>
      <c r="R130" s="112">
        <f>'Cash Flow %s Yr2'!R130</f>
        <v>0</v>
      </c>
      <c r="S130" s="111">
        <f t="shared" si="9"/>
        <v>0.99999954400000002</v>
      </c>
    </row>
    <row r="131" spans="1:19" s="31" customFormat="1" x14ac:dyDescent="0.2">
      <c r="A131" s="36"/>
      <c r="B131" s="66" t="str">
        <f>'Expenses Summary'!B86</f>
        <v>5890</v>
      </c>
      <c r="C131" s="66" t="str">
        <f>'Expenses Summary'!C86</f>
        <v>Interest Expense / Misc. Fees</v>
      </c>
      <c r="D131" s="112">
        <f>'Cash Flow %s Yr2'!D131</f>
        <v>8.33285E-2</v>
      </c>
      <c r="E131" s="112">
        <f>'Cash Flow %s Yr2'!E131</f>
        <v>8.33285E-2</v>
      </c>
      <c r="F131" s="112">
        <f>'Cash Flow %s Yr2'!F131</f>
        <v>8.33285E-2</v>
      </c>
      <c r="G131" s="112">
        <f>'Cash Flow %s Yr2'!G131</f>
        <v>8.33285E-2</v>
      </c>
      <c r="H131" s="112">
        <f>'Cash Flow %s Yr2'!H131</f>
        <v>8.33285E-2</v>
      </c>
      <c r="I131" s="112">
        <f>'Cash Flow %s Yr2'!I131</f>
        <v>8.33285E-2</v>
      </c>
      <c r="J131" s="112">
        <f>'Cash Flow %s Yr2'!J131</f>
        <v>8.33285E-2</v>
      </c>
      <c r="K131" s="112">
        <f>'Cash Flow %s Yr2'!K131</f>
        <v>8.33285E-2</v>
      </c>
      <c r="L131" s="112">
        <f>'Cash Flow %s Yr2'!L131</f>
        <v>8.33285E-2</v>
      </c>
      <c r="M131" s="112">
        <f>'Cash Flow %s Yr2'!M131</f>
        <v>8.33285E-2</v>
      </c>
      <c r="N131" s="112">
        <f>'Cash Flow %s Yr2'!N131</f>
        <v>8.33285E-2</v>
      </c>
      <c r="O131" s="112">
        <f>'Cash Flow %s Yr2'!O131</f>
        <v>8.3386000000000002E-2</v>
      </c>
      <c r="P131" s="112">
        <f>'Cash Flow %s Yr2'!P131</f>
        <v>0</v>
      </c>
      <c r="Q131" s="112">
        <f>'Cash Flow %s Yr2'!Q131</f>
        <v>0</v>
      </c>
      <c r="R131" s="112">
        <f>'Cash Flow %s Yr2'!R131</f>
        <v>0</v>
      </c>
      <c r="S131" s="111">
        <f t="shared" si="9"/>
        <v>0.99999950000000015</v>
      </c>
    </row>
    <row r="132" spans="1:19" s="31" customFormat="1" x14ac:dyDescent="0.2">
      <c r="A132" s="36"/>
      <c r="B132" s="66" t="str">
        <f>'Expenses Summary'!B87</f>
        <v>5891</v>
      </c>
      <c r="C132" s="66" t="str">
        <f>'Expenses Summary'!C87</f>
        <v>Charter School Capital Fees</v>
      </c>
      <c r="D132" s="112">
        <f>'Cash Flow %s Yr2'!D132</f>
        <v>8.3000000000000004E-2</v>
      </c>
      <c r="E132" s="112">
        <f>'Cash Flow %s Yr2'!E132</f>
        <v>8.3000000000000004E-2</v>
      </c>
      <c r="F132" s="112">
        <f>'Cash Flow %s Yr2'!F132</f>
        <v>8.3000000000000004E-2</v>
      </c>
      <c r="G132" s="112">
        <f>'Cash Flow %s Yr2'!G132</f>
        <v>8.3000000000000004E-2</v>
      </c>
      <c r="H132" s="112">
        <f>'Cash Flow %s Yr2'!H132</f>
        <v>8.3000000000000004E-2</v>
      </c>
      <c r="I132" s="112">
        <f>'Cash Flow %s Yr2'!I132</f>
        <v>8.3000000000000004E-2</v>
      </c>
      <c r="J132" s="112">
        <f>'Cash Flow %s Yr2'!J132</f>
        <v>8.3000000000000004E-2</v>
      </c>
      <c r="K132" s="112">
        <f>'Cash Flow %s Yr2'!K132</f>
        <v>8.3000000000000004E-2</v>
      </c>
      <c r="L132" s="112">
        <f>'Cash Flow %s Yr2'!L132</f>
        <v>8.4000000000000005E-2</v>
      </c>
      <c r="M132" s="112">
        <f>'Cash Flow %s Yr2'!M132</f>
        <v>8.4000000000000005E-2</v>
      </c>
      <c r="N132" s="112">
        <f>'Cash Flow %s Yr2'!N132</f>
        <v>8.4000000000000005E-2</v>
      </c>
      <c r="O132" s="112">
        <f>'Cash Flow %s Yr2'!O132</f>
        <v>8.4000000000000005E-2</v>
      </c>
      <c r="P132" s="112">
        <f>'Cash Flow %s Yr2'!P132</f>
        <v>0</v>
      </c>
      <c r="Q132" s="112">
        <f>'Cash Flow %s Yr2'!Q132</f>
        <v>0</v>
      </c>
      <c r="R132" s="112">
        <f>'Cash Flow %s Yr2'!R132</f>
        <v>0</v>
      </c>
      <c r="S132" s="111">
        <f t="shared" si="9"/>
        <v>0.99999999999999989</v>
      </c>
    </row>
    <row r="133" spans="1:19" s="31" customFormat="1" hidden="1" outlineLevel="1" x14ac:dyDescent="0.2">
      <c r="A133" s="36"/>
      <c r="B133" s="66" t="str">
        <f>'Expenses Summary'!B88</f>
        <v>5899</v>
      </c>
      <c r="C133" s="66" t="str">
        <f>'Expenses Summary'!C88</f>
        <v>CMO Management Fee</v>
      </c>
      <c r="D133" s="112">
        <f>'Cash Flow %s Yr2'!D133</f>
        <v>0</v>
      </c>
      <c r="E133" s="112">
        <f>'Cash Flow %s Yr2'!E133</f>
        <v>0</v>
      </c>
      <c r="F133" s="112">
        <f>'Cash Flow %s Yr2'!F133</f>
        <v>0.1</v>
      </c>
      <c r="G133" s="112">
        <f>'Cash Flow %s Yr2'!G133</f>
        <v>0.1</v>
      </c>
      <c r="H133" s="112">
        <f>'Cash Flow %s Yr2'!H133</f>
        <v>0.1</v>
      </c>
      <c r="I133" s="112">
        <f>'Cash Flow %s Yr2'!I133</f>
        <v>0.1</v>
      </c>
      <c r="J133" s="112">
        <f>'Cash Flow %s Yr2'!J133</f>
        <v>0.1</v>
      </c>
      <c r="K133" s="112">
        <f>'Cash Flow %s Yr2'!K133</f>
        <v>0.1</v>
      </c>
      <c r="L133" s="112">
        <f>'Cash Flow %s Yr2'!L133</f>
        <v>0.1</v>
      </c>
      <c r="M133" s="112">
        <f>'Cash Flow %s Yr2'!M133</f>
        <v>0.1</v>
      </c>
      <c r="N133" s="112">
        <f>'Cash Flow %s Yr2'!N133</f>
        <v>0.1</v>
      </c>
      <c r="O133" s="112">
        <f>'Cash Flow %s Yr2'!O133</f>
        <v>0.1</v>
      </c>
      <c r="P133" s="112">
        <f>'Cash Flow %s Yr2'!P133</f>
        <v>0</v>
      </c>
      <c r="Q133" s="112">
        <f>'Cash Flow %s Yr2'!Q133</f>
        <v>0</v>
      </c>
      <c r="R133" s="112">
        <f>'Cash Flow %s Yr2'!R133</f>
        <v>0</v>
      </c>
      <c r="S133" s="111">
        <f t="shared" si="9"/>
        <v>0.99999999999999989</v>
      </c>
    </row>
    <row r="134" spans="1:19" s="31" customFormat="1" hidden="1" outlineLevel="1" x14ac:dyDescent="0.2">
      <c r="A134" s="36"/>
      <c r="B134" s="66" t="str">
        <f>'Expenses Summary'!B89</f>
        <v>5900</v>
      </c>
      <c r="C134" s="66" t="str">
        <f>'Expenses Summary'!C89</f>
        <v>Communications</v>
      </c>
      <c r="D134" s="112">
        <f>'Cash Flow %s Yr2'!D134</f>
        <v>0</v>
      </c>
      <c r="E134" s="112">
        <f>'Cash Flow %s Yr2'!E134</f>
        <v>0</v>
      </c>
      <c r="F134" s="112">
        <f>'Cash Flow %s Yr2'!F134</f>
        <v>0.1</v>
      </c>
      <c r="G134" s="112">
        <f>'Cash Flow %s Yr2'!G134</f>
        <v>0.1</v>
      </c>
      <c r="H134" s="112">
        <f>'Cash Flow %s Yr2'!H134</f>
        <v>0.1</v>
      </c>
      <c r="I134" s="112">
        <f>'Cash Flow %s Yr2'!I134</f>
        <v>0.1</v>
      </c>
      <c r="J134" s="112">
        <f>'Cash Flow %s Yr2'!J134</f>
        <v>0.1</v>
      </c>
      <c r="K134" s="112">
        <f>'Cash Flow %s Yr2'!K134</f>
        <v>0.1</v>
      </c>
      <c r="L134" s="112">
        <f>'Cash Flow %s Yr2'!L134</f>
        <v>0.1</v>
      </c>
      <c r="M134" s="112">
        <f>'Cash Flow %s Yr2'!M134</f>
        <v>0.1</v>
      </c>
      <c r="N134" s="112">
        <f>'Cash Flow %s Yr2'!N134</f>
        <v>0.1</v>
      </c>
      <c r="O134" s="112">
        <f>'Cash Flow %s Yr2'!O134</f>
        <v>0.1</v>
      </c>
      <c r="P134" s="112">
        <f>'Cash Flow %s Yr2'!P134</f>
        <v>0</v>
      </c>
      <c r="Q134" s="112">
        <f>'Cash Flow %s Yr2'!Q134</f>
        <v>0</v>
      </c>
      <c r="R134" s="112">
        <f>'Cash Flow %s Yr2'!R134</f>
        <v>0</v>
      </c>
      <c r="S134" s="111">
        <f t="shared" si="9"/>
        <v>0.99999999999999989</v>
      </c>
    </row>
    <row r="135" spans="1:19" s="31" customFormat="1" hidden="1" outlineLevel="1" x14ac:dyDescent="0.2">
      <c r="A135" s="36"/>
      <c r="B135" s="66">
        <f>'Expenses Summary'!B90</f>
        <v>0</v>
      </c>
      <c r="C135" s="66">
        <f>'Expenses Summary'!C90</f>
        <v>0</v>
      </c>
      <c r="D135" s="112">
        <f>'Cash Flow %s Yr2'!D135</f>
        <v>0</v>
      </c>
      <c r="E135" s="112">
        <f>'Cash Flow %s Yr2'!E135</f>
        <v>0</v>
      </c>
      <c r="F135" s="112">
        <f>'Cash Flow %s Yr2'!F135</f>
        <v>0.1</v>
      </c>
      <c r="G135" s="112">
        <f>'Cash Flow %s Yr2'!G135</f>
        <v>0.1</v>
      </c>
      <c r="H135" s="112">
        <f>'Cash Flow %s Yr2'!H135</f>
        <v>0.1</v>
      </c>
      <c r="I135" s="112">
        <f>'Cash Flow %s Yr2'!I135</f>
        <v>0.1</v>
      </c>
      <c r="J135" s="112">
        <f>'Cash Flow %s Yr2'!J135</f>
        <v>0.1</v>
      </c>
      <c r="K135" s="112">
        <f>'Cash Flow %s Yr2'!K135</f>
        <v>0.1</v>
      </c>
      <c r="L135" s="112">
        <f>'Cash Flow %s Yr2'!L135</f>
        <v>0.1</v>
      </c>
      <c r="M135" s="112">
        <f>'Cash Flow %s Yr2'!M135</f>
        <v>0.1</v>
      </c>
      <c r="N135" s="112">
        <f>'Cash Flow %s Yr2'!N135</f>
        <v>0.1</v>
      </c>
      <c r="O135" s="112">
        <f>'Cash Flow %s Yr2'!O135</f>
        <v>0.1</v>
      </c>
      <c r="P135" s="112">
        <f>'Cash Flow %s Yr2'!P135</f>
        <v>0</v>
      </c>
      <c r="Q135" s="112">
        <f>'Cash Flow %s Yr2'!Q135</f>
        <v>0</v>
      </c>
      <c r="R135" s="112">
        <f>'Cash Flow %s Yr2'!R135</f>
        <v>0</v>
      </c>
      <c r="S135" s="111">
        <f t="shared" si="9"/>
        <v>0.99999999999999989</v>
      </c>
    </row>
    <row r="136" spans="1:19" s="31" customFormat="1" hidden="1" outlineLevel="1" x14ac:dyDescent="0.2">
      <c r="A136" s="36"/>
      <c r="B136" s="66">
        <f>'Expenses Summary'!B91</f>
        <v>0</v>
      </c>
      <c r="C136" s="66">
        <f>'Expenses Summary'!C91</f>
        <v>0</v>
      </c>
      <c r="D136" s="112">
        <f>'Cash Flow %s Yr2'!D136</f>
        <v>0</v>
      </c>
      <c r="E136" s="112">
        <f>'Cash Flow %s Yr2'!E136</f>
        <v>0</v>
      </c>
      <c r="F136" s="112">
        <f>'Cash Flow %s Yr2'!F136</f>
        <v>0.1</v>
      </c>
      <c r="G136" s="112">
        <f>'Cash Flow %s Yr2'!G136</f>
        <v>0.1</v>
      </c>
      <c r="H136" s="112">
        <f>'Cash Flow %s Yr2'!H136</f>
        <v>0.1</v>
      </c>
      <c r="I136" s="112">
        <f>'Cash Flow %s Yr2'!I136</f>
        <v>0.1</v>
      </c>
      <c r="J136" s="112">
        <f>'Cash Flow %s Yr2'!J136</f>
        <v>0.1</v>
      </c>
      <c r="K136" s="112">
        <f>'Cash Flow %s Yr2'!K136</f>
        <v>0.1</v>
      </c>
      <c r="L136" s="112">
        <f>'Cash Flow %s Yr2'!L136</f>
        <v>0.1</v>
      </c>
      <c r="M136" s="112">
        <f>'Cash Flow %s Yr2'!M136</f>
        <v>0.1</v>
      </c>
      <c r="N136" s="112">
        <f>'Cash Flow %s Yr2'!N136</f>
        <v>0.1</v>
      </c>
      <c r="O136" s="112">
        <f>'Cash Flow %s Yr2'!O136</f>
        <v>0.1</v>
      </c>
      <c r="P136" s="112">
        <f>'Cash Flow %s Yr2'!P136</f>
        <v>0</v>
      </c>
      <c r="Q136" s="112">
        <f>'Cash Flow %s Yr2'!Q136</f>
        <v>0</v>
      </c>
      <c r="R136" s="112">
        <f>'Cash Flow %s Yr2'!R136</f>
        <v>0</v>
      </c>
      <c r="S136" s="111">
        <f t="shared" si="9"/>
        <v>0.99999999999999989</v>
      </c>
    </row>
    <row r="137" spans="1:19" s="31" customFormat="1" hidden="1" outlineLevel="1" x14ac:dyDescent="0.2">
      <c r="A137" s="36"/>
      <c r="B137" s="66">
        <f>'Expenses Summary'!B92</f>
        <v>0</v>
      </c>
      <c r="C137" s="66">
        <f>'Expenses Summary'!C92</f>
        <v>0</v>
      </c>
      <c r="D137" s="112">
        <f>'Cash Flow %s Yr2'!D137</f>
        <v>0</v>
      </c>
      <c r="E137" s="112">
        <f>'Cash Flow %s Yr2'!E137</f>
        <v>0</v>
      </c>
      <c r="F137" s="112">
        <f>'Cash Flow %s Yr2'!F137</f>
        <v>0.1</v>
      </c>
      <c r="G137" s="112">
        <f>'Cash Flow %s Yr2'!G137</f>
        <v>0.1</v>
      </c>
      <c r="H137" s="112">
        <f>'Cash Flow %s Yr2'!H137</f>
        <v>0.1</v>
      </c>
      <c r="I137" s="112">
        <f>'Cash Flow %s Yr2'!I137</f>
        <v>0.1</v>
      </c>
      <c r="J137" s="112">
        <f>'Cash Flow %s Yr2'!J137</f>
        <v>0.1</v>
      </c>
      <c r="K137" s="112">
        <f>'Cash Flow %s Yr2'!K137</f>
        <v>0.1</v>
      </c>
      <c r="L137" s="112">
        <f>'Cash Flow %s Yr2'!L137</f>
        <v>0.1</v>
      </c>
      <c r="M137" s="112">
        <f>'Cash Flow %s Yr2'!M137</f>
        <v>0.1</v>
      </c>
      <c r="N137" s="112">
        <f>'Cash Flow %s Yr2'!N137</f>
        <v>0.1</v>
      </c>
      <c r="O137" s="112">
        <f>'Cash Flow %s Yr2'!O137</f>
        <v>0.1</v>
      </c>
      <c r="P137" s="112">
        <f>'Cash Flow %s Yr2'!P137</f>
        <v>0</v>
      </c>
      <c r="Q137" s="112">
        <f>'Cash Flow %s Yr2'!Q137</f>
        <v>0</v>
      </c>
      <c r="R137" s="112">
        <f>'Cash Flow %s Yr2'!R137</f>
        <v>0</v>
      </c>
      <c r="S137" s="111">
        <f t="shared" si="9"/>
        <v>0.99999999999999989</v>
      </c>
    </row>
    <row r="138" spans="1:19" s="31" customFormat="1" hidden="1" outlineLevel="1" x14ac:dyDescent="0.2">
      <c r="A138" s="36"/>
      <c r="B138" s="66">
        <f>'Expenses Summary'!B93</f>
        <v>0</v>
      </c>
      <c r="C138" s="66">
        <f>'Expenses Summary'!C93</f>
        <v>0</v>
      </c>
      <c r="D138" s="112">
        <f>'Cash Flow %s Yr2'!D138</f>
        <v>0</v>
      </c>
      <c r="E138" s="112">
        <f>'Cash Flow %s Yr2'!E138</f>
        <v>0</v>
      </c>
      <c r="F138" s="112">
        <f>'Cash Flow %s Yr2'!F138</f>
        <v>0.1</v>
      </c>
      <c r="G138" s="112">
        <f>'Cash Flow %s Yr2'!G138</f>
        <v>0.1</v>
      </c>
      <c r="H138" s="112">
        <f>'Cash Flow %s Yr2'!H138</f>
        <v>0.1</v>
      </c>
      <c r="I138" s="112">
        <f>'Cash Flow %s Yr2'!I138</f>
        <v>0.1</v>
      </c>
      <c r="J138" s="112">
        <f>'Cash Flow %s Yr2'!J138</f>
        <v>0.1</v>
      </c>
      <c r="K138" s="112">
        <f>'Cash Flow %s Yr2'!K138</f>
        <v>0.1</v>
      </c>
      <c r="L138" s="112">
        <f>'Cash Flow %s Yr2'!L138</f>
        <v>0.1</v>
      </c>
      <c r="M138" s="112">
        <f>'Cash Flow %s Yr2'!M138</f>
        <v>0.1</v>
      </c>
      <c r="N138" s="112">
        <f>'Cash Flow %s Yr2'!N138</f>
        <v>0.1</v>
      </c>
      <c r="O138" s="112">
        <f>'Cash Flow %s Yr2'!O138</f>
        <v>0.1</v>
      </c>
      <c r="P138" s="112">
        <f>'Cash Flow %s Yr2'!P138</f>
        <v>0</v>
      </c>
      <c r="Q138" s="112">
        <f>'Cash Flow %s Yr2'!Q138</f>
        <v>0</v>
      </c>
      <c r="R138" s="112">
        <f>'Cash Flow %s Yr2'!R138</f>
        <v>0</v>
      </c>
      <c r="S138" s="111">
        <f t="shared" si="9"/>
        <v>0.99999999999999989</v>
      </c>
    </row>
    <row r="139" spans="1:19" s="31" customFormat="1" hidden="1" outlineLevel="1" x14ac:dyDescent="0.2">
      <c r="A139" s="36"/>
      <c r="B139" s="66">
        <f>'Expenses Summary'!B94</f>
        <v>0</v>
      </c>
      <c r="C139" s="66">
        <f>'Expenses Summary'!C94</f>
        <v>0</v>
      </c>
      <c r="D139" s="112">
        <f>'Cash Flow %s Yr2'!D139</f>
        <v>0</v>
      </c>
      <c r="E139" s="112">
        <f>'Cash Flow %s Yr2'!E139</f>
        <v>0</v>
      </c>
      <c r="F139" s="112">
        <f>'Cash Flow %s Yr2'!F139</f>
        <v>0.1</v>
      </c>
      <c r="G139" s="112">
        <f>'Cash Flow %s Yr2'!G139</f>
        <v>0.1</v>
      </c>
      <c r="H139" s="112">
        <f>'Cash Flow %s Yr2'!H139</f>
        <v>0.1</v>
      </c>
      <c r="I139" s="112">
        <f>'Cash Flow %s Yr2'!I139</f>
        <v>0.1</v>
      </c>
      <c r="J139" s="112">
        <f>'Cash Flow %s Yr2'!J139</f>
        <v>0.1</v>
      </c>
      <c r="K139" s="112">
        <f>'Cash Flow %s Yr2'!K139</f>
        <v>0.1</v>
      </c>
      <c r="L139" s="112">
        <f>'Cash Flow %s Yr2'!L139</f>
        <v>0.1</v>
      </c>
      <c r="M139" s="112">
        <f>'Cash Flow %s Yr2'!M139</f>
        <v>0.1</v>
      </c>
      <c r="N139" s="112">
        <f>'Cash Flow %s Yr2'!N139</f>
        <v>0.1</v>
      </c>
      <c r="O139" s="112">
        <f>'Cash Flow %s Yr2'!O139</f>
        <v>0.1</v>
      </c>
      <c r="P139" s="112">
        <f>'Cash Flow %s Yr2'!P139</f>
        <v>0</v>
      </c>
      <c r="Q139" s="112">
        <f>'Cash Flow %s Yr2'!Q139</f>
        <v>0</v>
      </c>
      <c r="R139" s="112">
        <f>'Cash Flow %s Yr2'!R139</f>
        <v>0</v>
      </c>
      <c r="S139" s="111">
        <f t="shared" si="9"/>
        <v>0.99999999999999989</v>
      </c>
    </row>
    <row r="140" spans="1:19" s="31" customFormat="1" hidden="1" outlineLevel="1" x14ac:dyDescent="0.2">
      <c r="A140" s="36"/>
      <c r="B140" s="66">
        <f>'Expenses Summary'!B95</f>
        <v>0</v>
      </c>
      <c r="C140" s="66">
        <f>'Expenses Summary'!C95</f>
        <v>0</v>
      </c>
      <c r="D140" s="112">
        <f>'Cash Flow %s Yr2'!D140</f>
        <v>0</v>
      </c>
      <c r="E140" s="112">
        <f>'Cash Flow %s Yr2'!E140</f>
        <v>0</v>
      </c>
      <c r="F140" s="112">
        <f>'Cash Flow %s Yr2'!F140</f>
        <v>0.1</v>
      </c>
      <c r="G140" s="112">
        <f>'Cash Flow %s Yr2'!G140</f>
        <v>0.1</v>
      </c>
      <c r="H140" s="112">
        <f>'Cash Flow %s Yr2'!H140</f>
        <v>0.1</v>
      </c>
      <c r="I140" s="112">
        <f>'Cash Flow %s Yr2'!I140</f>
        <v>0.1</v>
      </c>
      <c r="J140" s="112">
        <f>'Cash Flow %s Yr2'!J140</f>
        <v>0.1</v>
      </c>
      <c r="K140" s="112">
        <f>'Cash Flow %s Yr2'!K140</f>
        <v>0.1</v>
      </c>
      <c r="L140" s="112">
        <f>'Cash Flow %s Yr2'!L140</f>
        <v>0.1</v>
      </c>
      <c r="M140" s="112">
        <f>'Cash Flow %s Yr2'!M140</f>
        <v>0.1</v>
      </c>
      <c r="N140" s="112">
        <f>'Cash Flow %s Yr2'!N140</f>
        <v>0.1</v>
      </c>
      <c r="O140" s="112">
        <f>'Cash Flow %s Yr2'!O140</f>
        <v>0.1</v>
      </c>
      <c r="P140" s="112">
        <f>'Cash Flow %s Yr2'!P140</f>
        <v>0</v>
      </c>
      <c r="Q140" s="112">
        <f>'Cash Flow %s Yr2'!Q140</f>
        <v>0</v>
      </c>
      <c r="R140" s="112">
        <f>'Cash Flow %s Yr2'!R140</f>
        <v>0</v>
      </c>
      <c r="S140" s="111">
        <f t="shared" si="9"/>
        <v>0.99999999999999989</v>
      </c>
    </row>
    <row r="141" spans="1:19" s="31" customFormat="1" hidden="1" outlineLevel="1" x14ac:dyDescent="0.2">
      <c r="A141" s="36"/>
      <c r="B141" s="66">
        <f>'Expenses Summary'!B96</f>
        <v>0</v>
      </c>
      <c r="C141" s="66">
        <f>'Expenses Summary'!C96</f>
        <v>0</v>
      </c>
      <c r="D141" s="112">
        <f>'Cash Flow %s Yr2'!D141</f>
        <v>0</v>
      </c>
      <c r="E141" s="112">
        <f>'Cash Flow %s Yr2'!E141</f>
        <v>0</v>
      </c>
      <c r="F141" s="112">
        <f>'Cash Flow %s Yr2'!F141</f>
        <v>0.1</v>
      </c>
      <c r="G141" s="112">
        <f>'Cash Flow %s Yr2'!G141</f>
        <v>0.1</v>
      </c>
      <c r="H141" s="112">
        <f>'Cash Flow %s Yr2'!H141</f>
        <v>0.1</v>
      </c>
      <c r="I141" s="112">
        <f>'Cash Flow %s Yr2'!I141</f>
        <v>0.1</v>
      </c>
      <c r="J141" s="112">
        <f>'Cash Flow %s Yr2'!J141</f>
        <v>0.1</v>
      </c>
      <c r="K141" s="112">
        <f>'Cash Flow %s Yr2'!K141</f>
        <v>0.1</v>
      </c>
      <c r="L141" s="112">
        <f>'Cash Flow %s Yr2'!L141</f>
        <v>0.1</v>
      </c>
      <c r="M141" s="112">
        <f>'Cash Flow %s Yr2'!M141</f>
        <v>0.1</v>
      </c>
      <c r="N141" s="112">
        <f>'Cash Flow %s Yr2'!N141</f>
        <v>0.1</v>
      </c>
      <c r="O141" s="112">
        <f>'Cash Flow %s Yr2'!O141</f>
        <v>0.1</v>
      </c>
      <c r="P141" s="112">
        <f>'Cash Flow %s Yr2'!P141</f>
        <v>0</v>
      </c>
      <c r="Q141" s="112">
        <f>'Cash Flow %s Yr2'!Q141</f>
        <v>0</v>
      </c>
      <c r="R141" s="112">
        <f>'Cash Flow %s Yr2'!R141</f>
        <v>0</v>
      </c>
      <c r="S141" s="111">
        <f t="shared" si="9"/>
        <v>0.99999999999999989</v>
      </c>
    </row>
    <row r="142" spans="1:19" s="31" customFormat="1" hidden="1" outlineLevel="1" x14ac:dyDescent="0.2">
      <c r="A142" s="36"/>
      <c r="B142" s="66">
        <f>'Expenses Summary'!B97</f>
        <v>0</v>
      </c>
      <c r="C142" s="66">
        <f>'Expenses Summary'!C97</f>
        <v>0</v>
      </c>
      <c r="D142" s="112">
        <f>'Cash Flow %s Yr2'!D142</f>
        <v>0</v>
      </c>
      <c r="E142" s="112">
        <f>'Cash Flow %s Yr2'!E142</f>
        <v>0</v>
      </c>
      <c r="F142" s="112">
        <f>'Cash Flow %s Yr2'!F142</f>
        <v>0.1</v>
      </c>
      <c r="G142" s="112">
        <f>'Cash Flow %s Yr2'!G142</f>
        <v>0.1</v>
      </c>
      <c r="H142" s="112">
        <f>'Cash Flow %s Yr2'!H142</f>
        <v>0.1</v>
      </c>
      <c r="I142" s="112">
        <f>'Cash Flow %s Yr2'!I142</f>
        <v>0.1</v>
      </c>
      <c r="J142" s="112">
        <f>'Cash Flow %s Yr2'!J142</f>
        <v>0.1</v>
      </c>
      <c r="K142" s="112">
        <f>'Cash Flow %s Yr2'!K142</f>
        <v>0.1</v>
      </c>
      <c r="L142" s="112">
        <f>'Cash Flow %s Yr2'!L142</f>
        <v>0.1</v>
      </c>
      <c r="M142" s="112">
        <f>'Cash Flow %s Yr2'!M142</f>
        <v>0.1</v>
      </c>
      <c r="N142" s="112">
        <f>'Cash Flow %s Yr2'!N142</f>
        <v>0.1</v>
      </c>
      <c r="O142" s="112">
        <f>'Cash Flow %s Yr2'!O142</f>
        <v>0.1</v>
      </c>
      <c r="P142" s="112">
        <f>'Cash Flow %s Yr2'!P142</f>
        <v>0</v>
      </c>
      <c r="Q142" s="112">
        <f>'Cash Flow %s Yr2'!Q142</f>
        <v>0</v>
      </c>
      <c r="R142" s="112">
        <f>'Cash Flow %s Yr2'!R142</f>
        <v>0</v>
      </c>
      <c r="S142" s="111">
        <f>SUM(D142:R142)</f>
        <v>0.99999999999999989</v>
      </c>
    </row>
    <row r="143" spans="1:19" s="31" customFormat="1" collapsed="1" x14ac:dyDescent="0.2">
      <c r="A143" s="36"/>
      <c r="B143" s="66" t="str">
        <f>'Expenses Summary'!B98</f>
        <v>5999</v>
      </c>
      <c r="C143" s="66" t="str">
        <f>'Expenses Summary'!C98</f>
        <v>Expense Suspense</v>
      </c>
      <c r="D143" s="112">
        <f>'Cash Flow %s Yr2'!D143</f>
        <v>0.05</v>
      </c>
      <c r="E143" s="112">
        <f>'Cash Flow %s Yr2'!E143</f>
        <v>0.05</v>
      </c>
      <c r="F143" s="112">
        <f>'Cash Flow %s Yr2'!F143</f>
        <v>0.09</v>
      </c>
      <c r="G143" s="112">
        <f>'Cash Flow %s Yr2'!G143</f>
        <v>0.09</v>
      </c>
      <c r="H143" s="112">
        <f>'Cash Flow %s Yr2'!H143</f>
        <v>0.09</v>
      </c>
      <c r="I143" s="112">
        <f>'Cash Flow %s Yr2'!I143</f>
        <v>0.09</v>
      </c>
      <c r="J143" s="112">
        <f>'Cash Flow %s Yr2'!J143</f>
        <v>0.09</v>
      </c>
      <c r="K143" s="112">
        <f>'Cash Flow %s Yr2'!K143</f>
        <v>0.09</v>
      </c>
      <c r="L143" s="112">
        <f>'Cash Flow %s Yr2'!L143</f>
        <v>0.09</v>
      </c>
      <c r="M143" s="112">
        <f>'Cash Flow %s Yr2'!M143</f>
        <v>0.09</v>
      </c>
      <c r="N143" s="112">
        <f>'Cash Flow %s Yr2'!N143</f>
        <v>0.09</v>
      </c>
      <c r="O143" s="112">
        <f>'Cash Flow %s Yr2'!O143</f>
        <v>0.09</v>
      </c>
      <c r="P143" s="112">
        <f>'Cash Flow %s Yr2'!P143</f>
        <v>0</v>
      </c>
      <c r="Q143" s="112">
        <f>'Cash Flow %s Yr2'!Q143</f>
        <v>0</v>
      </c>
      <c r="R143" s="112">
        <f>'Cash Flow %s Yr2'!R143</f>
        <v>0</v>
      </c>
      <c r="S143" s="111">
        <f>SUM(D143:R143)</f>
        <v>0.99999999999999978</v>
      </c>
    </row>
    <row r="144" spans="1:19" s="31" customFormat="1" x14ac:dyDescent="0.2">
      <c r="A144" s="36"/>
      <c r="B144" s="124"/>
      <c r="C144" s="93"/>
      <c r="D144" s="100"/>
      <c r="E144" s="100"/>
      <c r="F144" s="100"/>
      <c r="G144" s="100"/>
      <c r="H144" s="100"/>
      <c r="I144" s="100"/>
      <c r="J144" s="100"/>
      <c r="K144" s="100"/>
      <c r="L144" s="100"/>
      <c r="M144" s="100"/>
      <c r="N144" s="100"/>
      <c r="O144" s="100"/>
      <c r="P144" s="108"/>
      <c r="Q144" s="108"/>
      <c r="R144" s="108"/>
      <c r="S144" s="111"/>
    </row>
    <row r="145" spans="1:24" s="31" customFormat="1" x14ac:dyDescent="0.2">
      <c r="A145" s="36"/>
      <c r="B145" s="4"/>
      <c r="C145" s="3"/>
      <c r="D145" s="95"/>
      <c r="E145" s="95"/>
      <c r="F145" s="95"/>
      <c r="G145" s="95"/>
      <c r="H145" s="95"/>
      <c r="I145" s="95"/>
      <c r="J145" s="95"/>
      <c r="K145" s="95"/>
      <c r="L145" s="95"/>
      <c r="M145" s="95"/>
      <c r="N145" s="95"/>
      <c r="O145" s="95"/>
      <c r="P145" s="95"/>
      <c r="Q145" s="95"/>
      <c r="R145" s="95"/>
      <c r="S145" s="111"/>
    </row>
    <row r="146" spans="1:24" s="31" customFormat="1" x14ac:dyDescent="0.2">
      <c r="B146" s="34" t="s">
        <v>723</v>
      </c>
      <c r="C146" s="3"/>
      <c r="D146" s="95"/>
      <c r="E146" s="95"/>
      <c r="F146" s="95"/>
      <c r="G146" s="95"/>
      <c r="H146" s="95"/>
      <c r="I146" s="95"/>
      <c r="J146" s="95"/>
      <c r="K146" s="95"/>
      <c r="L146" s="95"/>
      <c r="M146" s="95"/>
      <c r="N146" s="95"/>
      <c r="O146" s="95"/>
      <c r="P146" s="95"/>
      <c r="Q146" s="95"/>
      <c r="R146" s="95"/>
      <c r="S146" s="111"/>
    </row>
    <row r="147" spans="1:24" s="31" customFormat="1" x14ac:dyDescent="0.2">
      <c r="A147" s="36"/>
      <c r="B147" s="66" t="str">
        <f>'Expenses Summary'!B102</f>
        <v>6900</v>
      </c>
      <c r="C147" s="66" t="str">
        <f>'Expenses Summary'!C102</f>
        <v xml:space="preserve">Depreciation Expense                                                            </v>
      </c>
      <c r="D147" s="112">
        <f>'Cash Flow %s Yr2'!D147</f>
        <v>0</v>
      </c>
      <c r="E147" s="112">
        <f>'Cash Flow %s Yr2'!E147</f>
        <v>0</v>
      </c>
      <c r="F147" s="112">
        <f>'Cash Flow %s Yr2'!F147</f>
        <v>0</v>
      </c>
      <c r="G147" s="112">
        <f>'Cash Flow %s Yr2'!G147</f>
        <v>0</v>
      </c>
      <c r="H147" s="112">
        <f>'Cash Flow %s Yr2'!H147</f>
        <v>0</v>
      </c>
      <c r="I147" s="112">
        <f>'Cash Flow %s Yr2'!I147</f>
        <v>0</v>
      </c>
      <c r="J147" s="112">
        <f>'Cash Flow %s Yr2'!J147</f>
        <v>0</v>
      </c>
      <c r="K147" s="112">
        <f>'Cash Flow %s Yr2'!K147</f>
        <v>0</v>
      </c>
      <c r="L147" s="112">
        <f>'Cash Flow %s Yr2'!L147</f>
        <v>0</v>
      </c>
      <c r="M147" s="112">
        <f>'Cash Flow %s Yr2'!M147</f>
        <v>0</v>
      </c>
      <c r="N147" s="112">
        <f>'Cash Flow %s Yr2'!N147</f>
        <v>0</v>
      </c>
      <c r="O147" s="112">
        <f>'Cash Flow %s Yr2'!O147</f>
        <v>1</v>
      </c>
      <c r="P147" s="112">
        <f>'Cash Flow %s Yr2'!P147</f>
        <v>0</v>
      </c>
      <c r="Q147" s="112">
        <f>'Cash Flow %s Yr2'!Q147</f>
        <v>0</v>
      </c>
      <c r="R147" s="112">
        <f>'Cash Flow %s Yr2'!R147</f>
        <v>0</v>
      </c>
      <c r="S147" s="111">
        <f>SUM(D147:R147)</f>
        <v>1</v>
      </c>
    </row>
    <row r="148" spans="1:24" s="31" customFormat="1" x14ac:dyDescent="0.2">
      <c r="A148" s="36"/>
      <c r="B148" s="124"/>
      <c r="C148" s="93"/>
      <c r="D148" s="100"/>
      <c r="E148" s="100"/>
      <c r="F148" s="100"/>
      <c r="G148" s="100"/>
      <c r="H148" s="100"/>
      <c r="I148" s="108"/>
      <c r="J148" s="108"/>
      <c r="K148" s="108"/>
      <c r="L148" s="108"/>
      <c r="M148" s="108"/>
      <c r="N148" s="108"/>
      <c r="O148" s="108"/>
      <c r="P148" s="108"/>
      <c r="Q148" s="108"/>
      <c r="R148" s="108"/>
      <c r="S148" s="111"/>
    </row>
    <row r="149" spans="1:24" s="31" customFormat="1" x14ac:dyDescent="0.2">
      <c r="A149" s="36"/>
      <c r="B149" s="4"/>
      <c r="C149" s="3"/>
      <c r="D149" s="95"/>
      <c r="E149" s="104"/>
      <c r="F149" s="104"/>
      <c r="G149" s="95"/>
      <c r="H149" s="95"/>
      <c r="I149" s="95"/>
      <c r="J149" s="95"/>
      <c r="K149" s="95"/>
      <c r="L149" s="95"/>
      <c r="M149" s="95"/>
      <c r="N149" s="95"/>
      <c r="O149" s="95"/>
      <c r="P149" s="95"/>
      <c r="Q149" s="95"/>
      <c r="R149" s="95"/>
      <c r="S149" s="111"/>
    </row>
    <row r="150" spans="1:24" s="31" customFormat="1" x14ac:dyDescent="0.2">
      <c r="B150" s="34" t="s">
        <v>724</v>
      </c>
      <c r="C150" s="3"/>
      <c r="D150" s="95"/>
      <c r="E150" s="104"/>
      <c r="F150" s="104"/>
      <c r="G150" s="95"/>
      <c r="H150" s="95"/>
      <c r="I150" s="95"/>
      <c r="J150" s="95"/>
      <c r="K150" s="95"/>
      <c r="L150" s="95"/>
      <c r="M150" s="95"/>
      <c r="N150" s="95"/>
      <c r="O150" s="95"/>
      <c r="P150" s="95"/>
      <c r="Q150" s="95"/>
      <c r="R150" s="95"/>
      <c r="S150" s="111"/>
    </row>
    <row r="151" spans="1:24" s="31" customFormat="1" x14ac:dyDescent="0.2">
      <c r="A151" s="36"/>
      <c r="B151" s="66" t="str">
        <f>'Expenses Summary'!B106</f>
        <v>7000</v>
      </c>
      <c r="C151" s="66" t="str">
        <f>'Expenses Summary'!C106</f>
        <v>Miscellaneous Expense</v>
      </c>
      <c r="D151" s="112">
        <f>'Cash Flow %s Yr2'!D151</f>
        <v>0.05</v>
      </c>
      <c r="E151" s="112">
        <f>'Cash Flow %s Yr2'!E151</f>
        <v>0.05</v>
      </c>
      <c r="F151" s="112">
        <f>'Cash Flow %s Yr2'!F151</f>
        <v>0.09</v>
      </c>
      <c r="G151" s="112">
        <f>'Cash Flow %s Yr2'!G151</f>
        <v>0.09</v>
      </c>
      <c r="H151" s="112">
        <f>'Cash Flow %s Yr2'!H151</f>
        <v>0.09</v>
      </c>
      <c r="I151" s="112">
        <f>'Cash Flow %s Yr2'!I151</f>
        <v>0.09</v>
      </c>
      <c r="J151" s="112">
        <f>'Cash Flow %s Yr2'!J151</f>
        <v>0.09</v>
      </c>
      <c r="K151" s="112">
        <f>'Cash Flow %s Yr2'!K151</f>
        <v>0.09</v>
      </c>
      <c r="L151" s="112">
        <f>'Cash Flow %s Yr2'!L151</f>
        <v>0.09</v>
      </c>
      <c r="M151" s="112">
        <f>'Cash Flow %s Yr2'!M151</f>
        <v>0.09</v>
      </c>
      <c r="N151" s="112">
        <f>'Cash Flow %s Yr2'!N151</f>
        <v>0.09</v>
      </c>
      <c r="O151" s="112">
        <f>'Cash Flow %s Yr2'!O151</f>
        <v>0.09</v>
      </c>
      <c r="P151" s="112">
        <f>'Cash Flow %s Yr2'!P151</f>
        <v>0</v>
      </c>
      <c r="Q151" s="112">
        <f>'Cash Flow %s Yr2'!Q151</f>
        <v>0</v>
      </c>
      <c r="R151" s="112">
        <f>'Cash Flow %s Yr2'!R151</f>
        <v>0</v>
      </c>
      <c r="S151" s="111">
        <f>SUM(D151:R151)</f>
        <v>0.99999999999999978</v>
      </c>
    </row>
    <row r="152" spans="1:24" s="31" customFormat="1" x14ac:dyDescent="0.2">
      <c r="A152" s="36"/>
      <c r="B152" s="66" t="str">
        <f>'Expenses Summary'!B107</f>
        <v>7010</v>
      </c>
      <c r="C152" s="66" t="str">
        <f>'Expenses Summary'!C107</f>
        <v>Special Education Encroachment</v>
      </c>
      <c r="D152" s="112">
        <f>'Cash Flow %s Yr2'!D152</f>
        <v>0</v>
      </c>
      <c r="E152" s="112">
        <f>'Cash Flow %s Yr2'!E152</f>
        <v>0</v>
      </c>
      <c r="F152" s="112">
        <f>'Cash Flow %s Yr2'!F152</f>
        <v>0</v>
      </c>
      <c r="G152" s="112">
        <f>'Cash Flow %s Yr2'!G152</f>
        <v>0</v>
      </c>
      <c r="H152" s="112">
        <f>'Cash Flow %s Yr2'!H152</f>
        <v>0</v>
      </c>
      <c r="I152" s="112">
        <f>'Cash Flow %s Yr2'!I152</f>
        <v>0</v>
      </c>
      <c r="J152" s="112">
        <f>'Cash Flow %s Yr2'!J152</f>
        <v>0</v>
      </c>
      <c r="K152" s="112">
        <f>'Cash Flow %s Yr2'!K152</f>
        <v>0</v>
      </c>
      <c r="L152" s="112">
        <f>'Cash Flow %s Yr2'!L152</f>
        <v>0</v>
      </c>
      <c r="M152" s="112">
        <f>'Cash Flow %s Yr2'!M152</f>
        <v>0</v>
      </c>
      <c r="N152" s="112">
        <f>'Cash Flow %s Yr2'!N152</f>
        <v>0</v>
      </c>
      <c r="O152" s="112">
        <f>'Cash Flow %s Yr2'!O152</f>
        <v>1</v>
      </c>
      <c r="P152" s="112">
        <f>'Cash Flow %s Yr2'!P152</f>
        <v>0</v>
      </c>
      <c r="Q152" s="112">
        <f>'Cash Flow %s Yr2'!Q152</f>
        <v>0</v>
      </c>
      <c r="R152" s="112">
        <f>'Cash Flow %s Yr2'!R152</f>
        <v>0</v>
      </c>
      <c r="S152" s="111">
        <f>SUM(D152:R152)</f>
        <v>1</v>
      </c>
    </row>
    <row r="153" spans="1:24" s="31" customFormat="1" x14ac:dyDescent="0.2">
      <c r="A153" s="36"/>
      <c r="B153" s="66" t="str">
        <f>'Expenses Summary'!B108</f>
        <v>7438</v>
      </c>
      <c r="C153" s="66" t="str">
        <f>'Expenses Summary'!C108</f>
        <v xml:space="preserve">Debt </v>
      </c>
      <c r="D153" s="112">
        <f>'Cash Flow %s Yr2'!D153</f>
        <v>0</v>
      </c>
      <c r="E153" s="112">
        <f>'Cash Flow %s Yr2'!E153</f>
        <v>0</v>
      </c>
      <c r="F153" s="112">
        <f>'Cash Flow %s Yr2'!F153</f>
        <v>0</v>
      </c>
      <c r="G153" s="112">
        <f>'Cash Flow %s Yr2'!G153</f>
        <v>0</v>
      </c>
      <c r="H153" s="112">
        <f>'Cash Flow %s Yr2'!H153</f>
        <v>0</v>
      </c>
      <c r="I153" s="112">
        <f>'Cash Flow %s Yr2'!I153</f>
        <v>0</v>
      </c>
      <c r="J153" s="112">
        <f>'Cash Flow %s Yr2'!J153</f>
        <v>0</v>
      </c>
      <c r="K153" s="112">
        <f>'Cash Flow %s Yr2'!K153</f>
        <v>0</v>
      </c>
      <c r="L153" s="112">
        <f>'Cash Flow %s Yr2'!L153</f>
        <v>0</v>
      </c>
      <c r="M153" s="112">
        <f>'Cash Flow %s Yr2'!M153</f>
        <v>0</v>
      </c>
      <c r="N153" s="112">
        <f>'Cash Flow %s Yr2'!N153</f>
        <v>0</v>
      </c>
      <c r="O153" s="112">
        <f>'Cash Flow %s Yr2'!O153</f>
        <v>1</v>
      </c>
      <c r="P153" s="112">
        <f>'Cash Flow %s Yr2'!P153</f>
        <v>0</v>
      </c>
      <c r="Q153" s="112">
        <f>'Cash Flow %s Yr2'!Q153</f>
        <v>0</v>
      </c>
      <c r="R153" s="112">
        <f>'Cash Flow %s Yr2'!R153</f>
        <v>0</v>
      </c>
      <c r="S153" s="111">
        <f>SUM(D153:R153)</f>
        <v>1</v>
      </c>
    </row>
    <row r="154" spans="1:24" s="31" customFormat="1" x14ac:dyDescent="0.2">
      <c r="A154" s="36"/>
      <c r="B154" s="66" t="str">
        <f>'Expenses Summary'!B109</f>
        <v>7500</v>
      </c>
      <c r="C154" s="66" t="str">
        <f>'Expenses Summary'!C109</f>
        <v>District Oversight Fee</v>
      </c>
      <c r="D154" s="112">
        <f>'Cash Flow %s Yr2'!D154</f>
        <v>0</v>
      </c>
      <c r="E154" s="112">
        <f>'Cash Flow %s Yr2'!E154</f>
        <v>0</v>
      </c>
      <c r="F154" s="112">
        <f>'Cash Flow %s Yr2'!F154</f>
        <v>0</v>
      </c>
      <c r="G154" s="112">
        <f>'Cash Flow %s Yr2'!G154</f>
        <v>0</v>
      </c>
      <c r="H154" s="112">
        <f>'Cash Flow %s Yr2'!H154</f>
        <v>0</v>
      </c>
      <c r="I154" s="112">
        <f>'Cash Flow %s Yr2'!I154</f>
        <v>0</v>
      </c>
      <c r="J154" s="112">
        <f>'Cash Flow %s Yr2'!J154</f>
        <v>0</v>
      </c>
      <c r="K154" s="112">
        <f>'Cash Flow %s Yr2'!K154</f>
        <v>0</v>
      </c>
      <c r="L154" s="112">
        <f>'Cash Flow %s Yr2'!L154</f>
        <v>0</v>
      </c>
      <c r="M154" s="112">
        <f>'Cash Flow %s Yr2'!M154</f>
        <v>0</v>
      </c>
      <c r="N154" s="112">
        <f>'Cash Flow %s Yr2'!N154</f>
        <v>0</v>
      </c>
      <c r="O154" s="112">
        <f>'Cash Flow %s Yr2'!O154</f>
        <v>1</v>
      </c>
      <c r="P154" s="112">
        <f>'Cash Flow %s Yr2'!P154</f>
        <v>0</v>
      </c>
      <c r="Q154" s="112">
        <f>'Cash Flow %s Yr2'!Q154</f>
        <v>0</v>
      </c>
      <c r="R154" s="112">
        <f>'Cash Flow %s Yr2'!R154</f>
        <v>0</v>
      </c>
      <c r="S154" s="111">
        <f>SUM(D154:R154)</f>
        <v>1</v>
      </c>
    </row>
    <row r="155" spans="1:24" s="31" customFormat="1" x14ac:dyDescent="0.2">
      <c r="A155" s="36"/>
      <c r="B155" s="40"/>
      <c r="C155" s="1"/>
      <c r="D155" s="105"/>
      <c r="E155" s="105"/>
      <c r="F155" s="105"/>
      <c r="G155" s="105"/>
      <c r="H155" s="105"/>
      <c r="I155" s="105"/>
      <c r="J155" s="105"/>
      <c r="K155" s="105"/>
      <c r="L155" s="105"/>
      <c r="M155" s="105"/>
      <c r="N155" s="105"/>
      <c r="O155" s="105"/>
      <c r="P155" s="105"/>
      <c r="Q155" s="105"/>
      <c r="R155" s="105"/>
      <c r="S155" s="111"/>
    </row>
    <row r="156" spans="1:24" s="31" customFormat="1" x14ac:dyDescent="0.2">
      <c r="A156" s="36"/>
      <c r="B156" s="40"/>
      <c r="C156" s="1"/>
      <c r="D156" s="95"/>
      <c r="E156" s="95"/>
      <c r="F156" s="95"/>
      <c r="G156" s="95"/>
      <c r="H156" s="95"/>
      <c r="I156" s="95"/>
      <c r="J156" s="95"/>
      <c r="K156" s="95"/>
      <c r="L156" s="95"/>
      <c r="M156" s="95"/>
      <c r="N156" s="95"/>
      <c r="O156" s="95"/>
      <c r="P156" s="95"/>
      <c r="Q156" s="95"/>
      <c r="R156" s="95"/>
      <c r="S156" s="111"/>
      <c r="T156" s="154"/>
    </row>
    <row r="157" spans="1:24" s="31" customFormat="1" x14ac:dyDescent="0.2">
      <c r="A157" s="36"/>
      <c r="B157" s="34" t="s">
        <v>824</v>
      </c>
      <c r="C157" s="3"/>
      <c r="D157" s="95"/>
      <c r="E157" s="104"/>
      <c r="F157" s="104"/>
      <c r="G157" s="95"/>
      <c r="H157" s="95"/>
      <c r="I157" s="95"/>
      <c r="J157" s="95"/>
      <c r="K157" s="95"/>
      <c r="L157" s="95"/>
      <c r="M157" s="95"/>
      <c r="N157" s="95"/>
      <c r="O157" s="95"/>
      <c r="P157" s="95"/>
      <c r="Q157" s="95"/>
      <c r="R157" s="95"/>
      <c r="S157" s="111"/>
    </row>
    <row r="158" spans="1:24" s="31" customFormat="1" x14ac:dyDescent="0.2">
      <c r="A158" s="36"/>
      <c r="B158" s="66"/>
      <c r="C158" s="135" t="s">
        <v>825</v>
      </c>
      <c r="D158" s="112">
        <f>'Cash Flow %s Yr2'!D158</f>
        <v>1</v>
      </c>
      <c r="E158" s="112">
        <f>'Cash Flow %s Yr2'!E158</f>
        <v>0</v>
      </c>
      <c r="F158" s="112">
        <f>'Cash Flow %s Yr2'!F158</f>
        <v>0</v>
      </c>
      <c r="G158" s="112">
        <f>'Cash Flow %s Yr2'!G158</f>
        <v>0</v>
      </c>
      <c r="H158" s="112">
        <f>'Cash Flow %s Yr2'!H158</f>
        <v>0</v>
      </c>
      <c r="I158" s="112">
        <f>'Cash Flow %s Yr2'!I158</f>
        <v>0</v>
      </c>
      <c r="J158" s="112">
        <f>'Cash Flow %s Yr2'!J158</f>
        <v>0</v>
      </c>
      <c r="K158" s="112">
        <f>'Cash Flow %s Yr2'!K158</f>
        <v>0</v>
      </c>
      <c r="L158" s="112">
        <f>'Cash Flow %s Yr2'!L158</f>
        <v>0</v>
      </c>
      <c r="M158" s="112">
        <f>'Cash Flow %s Yr2'!M158</f>
        <v>0</v>
      </c>
      <c r="N158" s="112">
        <f>'Cash Flow %s Yr2'!N158</f>
        <v>0</v>
      </c>
      <c r="O158" s="112">
        <f>'Cash Flow %s Yr2'!O158</f>
        <v>0</v>
      </c>
      <c r="P158" s="112">
        <f>'Cash Flow %s Yr2'!P158</f>
        <v>0</v>
      </c>
      <c r="Q158" s="112">
        <f>'Cash Flow %s Yr2'!Q158</f>
        <v>0</v>
      </c>
      <c r="R158" s="112">
        <f>'Cash Flow %s Yr2'!R158</f>
        <v>0</v>
      </c>
      <c r="S158" s="111">
        <f>SUM(D158:R158)</f>
        <v>1</v>
      </c>
      <c r="T158" s="149"/>
      <c r="U158" s="149"/>
      <c r="V158" s="149"/>
      <c r="W158" s="149"/>
      <c r="X158" s="149"/>
    </row>
    <row r="159" spans="1:24" s="31" customFormat="1" x14ac:dyDescent="0.2">
      <c r="A159" s="36"/>
      <c r="B159" s="66"/>
      <c r="C159" s="135" t="s">
        <v>826</v>
      </c>
      <c r="D159" s="112">
        <f>'Cash Flow %s Yr2'!D159</f>
        <v>0.6</v>
      </c>
      <c r="E159" s="112">
        <f>'Cash Flow %s Yr2'!E159</f>
        <v>0.25</v>
      </c>
      <c r="F159" s="112">
        <f>'Cash Flow %s Yr2'!F159</f>
        <v>0.1</v>
      </c>
      <c r="G159" s="112">
        <f>'Cash Flow %s Yr2'!G159</f>
        <v>0</v>
      </c>
      <c r="H159" s="112">
        <f>'Cash Flow %s Yr2'!H159</f>
        <v>0</v>
      </c>
      <c r="I159" s="112">
        <f>'Cash Flow %s Yr2'!I159</f>
        <v>0</v>
      </c>
      <c r="J159" s="112">
        <f>'Cash Flow %s Yr2'!J159</f>
        <v>0</v>
      </c>
      <c r="K159" s="112">
        <f>'Cash Flow %s Yr2'!K159</f>
        <v>0</v>
      </c>
      <c r="L159" s="112">
        <f>'Cash Flow %s Yr2'!L159</f>
        <v>0</v>
      </c>
      <c r="M159" s="112">
        <f>'Cash Flow %s Yr2'!M159</f>
        <v>0</v>
      </c>
      <c r="N159" s="112">
        <f>'Cash Flow %s Yr2'!N159</f>
        <v>0</v>
      </c>
      <c r="O159" s="112">
        <f>'Cash Flow %s Yr2'!O159</f>
        <v>0</v>
      </c>
      <c r="P159" s="112">
        <f>'Cash Flow %s Yr2'!P159</f>
        <v>0</v>
      </c>
      <c r="Q159" s="112">
        <f>'Cash Flow %s Yr2'!Q159</f>
        <v>0</v>
      </c>
      <c r="R159" s="112">
        <f>'Cash Flow %s Yr2'!R159</f>
        <v>0</v>
      </c>
      <c r="S159" s="111">
        <f>SUM(D159:R159)</f>
        <v>0.95</v>
      </c>
      <c r="T159" s="149"/>
      <c r="U159" s="149"/>
      <c r="V159" s="149"/>
      <c r="W159" s="149"/>
      <c r="X159" s="149"/>
    </row>
    <row r="160" spans="1:24" s="31" customFormat="1" x14ac:dyDescent="0.2">
      <c r="A160" s="36"/>
      <c r="B160" s="66"/>
      <c r="C160" s="135" t="s">
        <v>827</v>
      </c>
      <c r="D160" s="112">
        <f>'Cash Flow %s Yr2'!D160</f>
        <v>0.5</v>
      </c>
      <c r="E160" s="112">
        <f>'Cash Flow %s Yr2'!E160</f>
        <v>0.2</v>
      </c>
      <c r="F160" s="112">
        <f>'Cash Flow %s Yr2'!F160</f>
        <v>0</v>
      </c>
      <c r="G160" s="112">
        <f>'Cash Flow %s Yr2'!G160</f>
        <v>0</v>
      </c>
      <c r="H160" s="112">
        <f>'Cash Flow %s Yr2'!H160</f>
        <v>0</v>
      </c>
      <c r="I160" s="112">
        <f>'Cash Flow %s Yr2'!I160</f>
        <v>0</v>
      </c>
      <c r="J160" s="112">
        <f>'Cash Flow %s Yr2'!J160</f>
        <v>0</v>
      </c>
      <c r="K160" s="112">
        <f>'Cash Flow %s Yr2'!K160</f>
        <v>0</v>
      </c>
      <c r="L160" s="112">
        <f>'Cash Flow %s Yr2'!L160</f>
        <v>0</v>
      </c>
      <c r="M160" s="112">
        <f>'Cash Flow %s Yr2'!M160</f>
        <v>0</v>
      </c>
      <c r="N160" s="112">
        <f>'Cash Flow %s Yr2'!N160</f>
        <v>0</v>
      </c>
      <c r="O160" s="112">
        <f>'Cash Flow %s Yr2'!O160</f>
        <v>0</v>
      </c>
      <c r="P160" s="112">
        <f>'Cash Flow %s Yr2'!P160</f>
        <v>0</v>
      </c>
      <c r="Q160" s="112">
        <f>'Cash Flow %s Yr2'!Q160</f>
        <v>0</v>
      </c>
      <c r="R160" s="112">
        <f>'Cash Flow %s Yr2'!R160</f>
        <v>0</v>
      </c>
      <c r="S160" s="111">
        <f>SUM(D160:R160)</f>
        <v>0.7</v>
      </c>
      <c r="T160" s="149"/>
      <c r="U160" s="149"/>
      <c r="V160" s="149"/>
      <c r="W160" s="149"/>
      <c r="X160" s="149"/>
    </row>
    <row r="161" spans="1:24" s="40" customFormat="1" x14ac:dyDescent="0.2">
      <c r="A161" s="36"/>
      <c r="B161" s="66"/>
      <c r="C161" s="135" t="s">
        <v>828</v>
      </c>
      <c r="D161" s="112">
        <f>'Cash Flow %s Yr2'!D161</f>
        <v>0</v>
      </c>
      <c r="E161" s="112">
        <f>'Cash Flow %s Yr2'!E161</f>
        <v>0</v>
      </c>
      <c r="F161" s="112">
        <f>'Cash Flow %s Yr2'!F161</f>
        <v>0</v>
      </c>
      <c r="G161" s="112">
        <f>'Cash Flow %s Yr2'!G161</f>
        <v>0</v>
      </c>
      <c r="H161" s="112">
        <f>'Cash Flow %s Yr2'!H161</f>
        <v>0</v>
      </c>
      <c r="I161" s="112">
        <f>'Cash Flow %s Yr2'!I161</f>
        <v>0</v>
      </c>
      <c r="J161" s="112">
        <f>'Cash Flow %s Yr2'!J161</f>
        <v>0</v>
      </c>
      <c r="K161" s="112">
        <f>'Cash Flow %s Yr2'!K161</f>
        <v>0</v>
      </c>
      <c r="L161" s="112">
        <f>'Cash Flow %s Yr2'!L161</f>
        <v>0</v>
      </c>
      <c r="M161" s="112">
        <f>'Cash Flow %s Yr2'!M161</f>
        <v>0</v>
      </c>
      <c r="N161" s="112">
        <f>'Cash Flow %s Yr2'!N161</f>
        <v>0</v>
      </c>
      <c r="O161" s="112">
        <f>'Cash Flow %s Yr2'!O161</f>
        <v>1</v>
      </c>
      <c r="P161" s="112">
        <f>'Cash Flow %s Yr2'!P161</f>
        <v>0</v>
      </c>
      <c r="Q161" s="112">
        <f>'Cash Flow %s Yr2'!Q161</f>
        <v>0</v>
      </c>
      <c r="R161" s="112">
        <f>'Cash Flow %s Yr2'!R161</f>
        <v>0</v>
      </c>
      <c r="S161" s="111">
        <f>SUM(D161:R161)</f>
        <v>1</v>
      </c>
      <c r="T161" s="149"/>
      <c r="U161" s="149"/>
      <c r="V161" s="149"/>
      <c r="W161" s="149"/>
      <c r="X161" s="149"/>
    </row>
    <row r="162" spans="1:24" s="40" customFormat="1" x14ac:dyDescent="0.2">
      <c r="A162" s="36"/>
      <c r="C162" s="1"/>
      <c r="D162" s="95"/>
      <c r="E162" s="95"/>
      <c r="F162" s="95"/>
      <c r="G162" s="95"/>
      <c r="H162" s="95"/>
      <c r="I162" s="95"/>
      <c r="J162" s="95"/>
      <c r="K162" s="95"/>
      <c r="L162" s="95"/>
      <c r="M162" s="95"/>
      <c r="N162" s="95"/>
      <c r="O162" s="95"/>
      <c r="P162" s="95"/>
      <c r="Q162" s="95"/>
      <c r="R162" s="95"/>
      <c r="S162" s="182"/>
    </row>
    <row r="163" spans="1:24" s="40" customFormat="1" x14ac:dyDescent="0.2">
      <c r="A163" s="36"/>
      <c r="C163" s="1"/>
      <c r="D163" s="95"/>
      <c r="E163" s="95"/>
      <c r="F163" s="95"/>
      <c r="G163" s="95"/>
      <c r="H163" s="95"/>
      <c r="I163" s="95"/>
      <c r="J163" s="95"/>
      <c r="K163" s="95"/>
      <c r="L163" s="95"/>
      <c r="M163" s="95"/>
      <c r="N163" s="95"/>
      <c r="O163" s="95"/>
      <c r="P163" s="95"/>
      <c r="Q163" s="95"/>
      <c r="R163" s="95"/>
      <c r="S163" s="182"/>
    </row>
    <row r="164" spans="1:24" s="40" customFormat="1" x14ac:dyDescent="0.2">
      <c r="A164" s="36"/>
      <c r="C164" s="1"/>
      <c r="D164" s="95"/>
      <c r="E164" s="95"/>
      <c r="F164" s="95"/>
      <c r="G164" s="95"/>
      <c r="H164" s="95"/>
      <c r="I164" s="95"/>
      <c r="J164" s="95"/>
      <c r="K164" s="95"/>
      <c r="L164" s="95"/>
      <c r="M164" s="95"/>
      <c r="N164" s="95"/>
      <c r="O164" s="95"/>
      <c r="P164" s="95"/>
      <c r="Q164" s="95"/>
      <c r="R164" s="95"/>
      <c r="S164" s="182"/>
    </row>
    <row r="165" spans="1:24" s="40" customFormat="1" x14ac:dyDescent="0.2">
      <c r="A165" s="36"/>
      <c r="C165" s="1"/>
      <c r="D165" s="95"/>
      <c r="E165" s="95"/>
      <c r="F165" s="95"/>
      <c r="G165" s="95"/>
      <c r="H165" s="95"/>
      <c r="I165" s="95"/>
      <c r="J165" s="95"/>
      <c r="K165" s="95"/>
      <c r="L165" s="95"/>
      <c r="M165" s="95"/>
      <c r="N165" s="95"/>
      <c r="O165" s="95"/>
      <c r="P165" s="95"/>
      <c r="Q165" s="95"/>
      <c r="R165" s="95"/>
      <c r="S165" s="182"/>
    </row>
    <row r="166" spans="1:24" s="40" customFormat="1" x14ac:dyDescent="0.2">
      <c r="A166" s="36"/>
      <c r="C166" s="1"/>
      <c r="D166" s="95"/>
      <c r="E166" s="95"/>
      <c r="F166" s="95"/>
      <c r="G166" s="95"/>
      <c r="H166" s="95"/>
      <c r="I166" s="95"/>
      <c r="J166" s="95"/>
      <c r="K166" s="95"/>
      <c r="L166" s="95"/>
      <c r="M166" s="95"/>
      <c r="N166" s="95"/>
      <c r="O166" s="95"/>
      <c r="P166" s="95"/>
      <c r="Q166" s="95"/>
      <c r="R166" s="95"/>
      <c r="S166" s="182"/>
    </row>
    <row r="167" spans="1:24" s="40" customFormat="1" x14ac:dyDescent="0.2">
      <c r="A167" s="36"/>
      <c r="C167" s="1"/>
      <c r="D167" s="95"/>
      <c r="E167" s="95"/>
      <c r="F167" s="95"/>
      <c r="G167" s="95"/>
      <c r="H167" s="95"/>
      <c r="I167" s="95"/>
      <c r="J167" s="95"/>
      <c r="K167" s="95"/>
      <c r="L167" s="95"/>
      <c r="M167" s="95"/>
      <c r="N167" s="95"/>
      <c r="O167" s="95"/>
      <c r="P167" s="95"/>
      <c r="Q167" s="95"/>
      <c r="R167" s="95"/>
      <c r="S167" s="182"/>
    </row>
    <row r="168" spans="1:24" s="40" customFormat="1" x14ac:dyDescent="0.2">
      <c r="A168" s="36"/>
      <c r="C168" s="1"/>
      <c r="D168" s="95"/>
      <c r="E168" s="95"/>
      <c r="F168" s="95"/>
      <c r="G168" s="95"/>
      <c r="H168" s="95"/>
      <c r="I168" s="95"/>
      <c r="J168" s="95"/>
      <c r="K168" s="95"/>
      <c r="L168" s="95"/>
      <c r="M168" s="95"/>
      <c r="N168" s="95"/>
      <c r="O168" s="95"/>
      <c r="P168" s="95"/>
      <c r="Q168" s="95"/>
      <c r="R168" s="95"/>
      <c r="S168" s="182"/>
    </row>
    <row r="169" spans="1:24" s="40" customFormat="1" x14ac:dyDescent="0.2">
      <c r="A169" s="36"/>
      <c r="C169" s="1"/>
      <c r="D169" s="95"/>
      <c r="E169" s="95"/>
      <c r="F169" s="95"/>
      <c r="G169" s="95"/>
      <c r="H169" s="95"/>
      <c r="I169" s="95"/>
      <c r="J169" s="95"/>
      <c r="K169" s="95"/>
      <c r="L169" s="95"/>
      <c r="M169" s="95"/>
      <c r="N169" s="95"/>
      <c r="O169" s="95"/>
      <c r="P169" s="95"/>
      <c r="Q169" s="95"/>
      <c r="R169" s="95"/>
      <c r="S169" s="182"/>
    </row>
    <row r="170" spans="1:24" x14ac:dyDescent="0.2">
      <c r="S170" s="182"/>
    </row>
    <row r="171" spans="1:24" x14ac:dyDescent="0.2">
      <c r="S171" s="182"/>
    </row>
    <row r="172" spans="1:24" x14ac:dyDescent="0.2">
      <c r="S172" s="182"/>
    </row>
    <row r="173" spans="1:24" x14ac:dyDescent="0.2">
      <c r="S173" s="182"/>
    </row>
  </sheetData>
  <pageMargins left="0.25" right="0.25" top="0.5" bottom="0.5" header="0.25" footer="0.25"/>
  <pageSetup scale="58" fitToHeight="3" orientation="landscape" r:id="rId1"/>
  <headerFooter alignWithMargins="0">
    <oddHeader>&amp;A</oddHeader>
    <oddFooter>Page &amp;P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249977111117893"/>
    <pageSetUpPr fitToPage="1"/>
  </sheetPr>
  <dimension ref="A1:S172"/>
  <sheetViews>
    <sheetView workbookViewId="0">
      <pane xSplit="3" ySplit="6" topLeftCell="D36"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12.5" style="95" customWidth="1"/>
    <col min="19" max="19" width="10.33203125" style="1" bestFit="1" customWidth="1"/>
    <col min="20"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19" ht="20" x14ac:dyDescent="0.2">
      <c r="A1" s="22" t="str">
        <f>'Student Info'!$A$1</f>
        <v>Three Rivers Charter School</v>
      </c>
    </row>
    <row r="2" spans="1:19" ht="18" x14ac:dyDescent="0.2">
      <c r="A2" s="21" t="s">
        <v>820</v>
      </c>
    </row>
    <row r="3" spans="1:19" ht="18" x14ac:dyDescent="0.2">
      <c r="A3" s="21" t="str">
        <f>'Student Info'!F7</f>
        <v>2017-18</v>
      </c>
    </row>
    <row r="5" spans="1:19" ht="18" x14ac:dyDescent="0.2">
      <c r="A5" s="29"/>
      <c r="B5" s="41"/>
      <c r="C5" s="29"/>
      <c r="D5" s="96"/>
      <c r="E5" s="96"/>
      <c r="F5" s="96"/>
      <c r="G5" s="96"/>
      <c r="H5" s="96"/>
      <c r="I5" s="96"/>
      <c r="J5" s="96"/>
      <c r="K5" s="96"/>
      <c r="L5" s="96"/>
      <c r="M5" s="96"/>
      <c r="N5" s="96"/>
      <c r="O5" s="96"/>
      <c r="P5" s="96"/>
      <c r="Q5" s="96"/>
      <c r="R5" s="96"/>
    </row>
    <row r="6" spans="1:19"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19" ht="18" x14ac:dyDescent="0.2">
      <c r="A7" s="47" t="s">
        <v>794</v>
      </c>
      <c r="B7" s="87"/>
      <c r="D7" s="31"/>
      <c r="F7" s="97"/>
      <c r="G7" s="97"/>
      <c r="H7" s="97"/>
      <c r="I7" s="31"/>
      <c r="J7" s="31"/>
      <c r="K7" s="97"/>
      <c r="L7" s="97"/>
      <c r="M7" s="97"/>
      <c r="N7" s="97"/>
      <c r="O7" s="97"/>
      <c r="P7" s="97"/>
      <c r="Q7" s="97"/>
      <c r="R7" s="97"/>
    </row>
    <row r="8" spans="1:19" ht="18" hidden="1" x14ac:dyDescent="0.2">
      <c r="A8" s="47"/>
      <c r="B8" s="87"/>
      <c r="C8" s="125" t="s">
        <v>821</v>
      </c>
      <c r="D8" s="110"/>
      <c r="F8" s="97"/>
      <c r="G8" s="97"/>
      <c r="H8" s="97"/>
      <c r="I8" s="31"/>
      <c r="J8" s="31"/>
      <c r="K8" s="97"/>
      <c r="L8" s="97"/>
      <c r="M8" s="97"/>
      <c r="N8" s="97"/>
      <c r="O8" s="97"/>
      <c r="P8" s="97"/>
      <c r="Q8" s="97"/>
      <c r="R8" s="97"/>
    </row>
    <row r="9" spans="1:19" ht="18" hidden="1" x14ac:dyDescent="0.2">
      <c r="A9" s="47"/>
      <c r="B9" s="87"/>
      <c r="C9" s="89"/>
      <c r="D9" s="99"/>
      <c r="E9" s="114"/>
      <c r="F9" s="114"/>
      <c r="G9" s="114"/>
      <c r="H9" s="114"/>
      <c r="I9" s="114"/>
      <c r="J9" s="114"/>
      <c r="K9" s="114"/>
      <c r="L9" s="115"/>
      <c r="M9" s="114"/>
      <c r="N9" s="114"/>
      <c r="O9" s="115"/>
      <c r="P9" s="114"/>
      <c r="Q9" s="112"/>
      <c r="R9" s="112"/>
      <c r="S9" s="111"/>
    </row>
    <row r="10" spans="1:19" ht="18" hidden="1" x14ac:dyDescent="0.2">
      <c r="A10" s="47"/>
      <c r="B10" s="87"/>
      <c r="C10" s="89"/>
      <c r="D10" s="99"/>
      <c r="E10" s="116"/>
      <c r="F10" s="116"/>
      <c r="G10" s="114"/>
      <c r="H10" s="116"/>
      <c r="I10" s="116"/>
      <c r="J10" s="114"/>
      <c r="K10" s="116"/>
      <c r="L10" s="115"/>
      <c r="M10" s="117"/>
      <c r="N10" s="117"/>
      <c r="O10" s="117"/>
      <c r="P10" s="118"/>
      <c r="Q10" s="99"/>
      <c r="R10" s="112"/>
      <c r="S10" s="111"/>
    </row>
    <row r="11" spans="1:19" s="31" customFormat="1" ht="18" x14ac:dyDescent="0.2">
      <c r="B11" s="70" t="s">
        <v>779</v>
      </c>
      <c r="C11" s="49"/>
      <c r="D11" s="98"/>
      <c r="E11" s="98"/>
      <c r="F11" s="98"/>
      <c r="G11" s="98"/>
      <c r="H11" s="98"/>
      <c r="I11" s="98"/>
      <c r="J11" s="98"/>
      <c r="K11" s="98"/>
      <c r="L11" s="98"/>
      <c r="M11" s="98"/>
      <c r="N11" s="98"/>
      <c r="O11" s="98"/>
      <c r="P11" s="98"/>
      <c r="Q11" s="98"/>
      <c r="R11" s="98"/>
    </row>
    <row r="12" spans="1:19" s="31" customFormat="1" x14ac:dyDescent="0.2">
      <c r="A12" s="50"/>
      <c r="B12" s="65" t="str">
        <f>'Revenue Input'!B8</f>
        <v>8011</v>
      </c>
      <c r="C12" s="65" t="str">
        <f>'Revenue Input'!C8</f>
        <v>LCFF for all grades; state aid portion</v>
      </c>
      <c r="D12" s="64">
        <f>IF('Revenue Input'!$F8="","",IF('Cash Flow %s Yr3'!D12="","",'Cash Flow %s Yr3'!D12*'Revenue Input'!$F8))</f>
        <v>0</v>
      </c>
      <c r="E12" s="64">
        <f>IF('Revenue Input'!$F8="","",IF('Cash Flow %s Yr3'!E12="","",'Cash Flow %s Yr3'!E12*'Revenue Input'!$F8))</f>
        <v>26435.812770157994</v>
      </c>
      <c r="F12" s="64">
        <f>IF('Revenue Input'!$F8="","",IF('Cash Flow %s Yr3'!F12="","",'Cash Flow %s Yr3'!F12*'Revenue Input'!$F8))</f>
        <v>26435.812770157994</v>
      </c>
      <c r="G12" s="64">
        <f>IF('Revenue Input'!$F8="","",IF('Cash Flow %s Yr3'!G12="","",'Cash Flow %s Yr3'!G12*'Revenue Input'!$F8))</f>
        <v>47584.462986284387</v>
      </c>
      <c r="H12" s="64">
        <f>IF('Revenue Input'!$F8="","",IF('Cash Flow %s Yr3'!H12="","",'Cash Flow %s Yr3'!H12*'Revenue Input'!$F8))</f>
        <v>47584.462986284387</v>
      </c>
      <c r="I12" s="64">
        <f>IF('Revenue Input'!$F8="","",IF('Cash Flow %s Yr3'!I12="","",'Cash Flow %s Yr3'!I12*'Revenue Input'!$F8))</f>
        <v>47584.462986284387</v>
      </c>
      <c r="J12" s="64">
        <f>IF('Revenue Input'!$F8="","",IF('Cash Flow %s Yr3'!J12="","",'Cash Flow %s Yr3'!J12*'Revenue Input'!$F8))</f>
        <v>47584.462986284387</v>
      </c>
      <c r="K12" s="64">
        <f>IF('Revenue Input'!$F8="","",IF('Cash Flow %s Yr3'!K12="","",'Cash Flow %s Yr3'!K12*'Revenue Input'!$F8))</f>
        <v>47584.462986284387</v>
      </c>
      <c r="L12" s="64">
        <f>IF('Revenue Input'!$F8="","",IF('Cash Flow %s Yr3'!L12="","",'Cash Flow %s Yr3'!L12*'Revenue Input'!$F8))</f>
        <v>47584.462986284387</v>
      </c>
      <c r="M12" s="64">
        <f>IF('Revenue Input'!$F8="","",IF('Cash Flow %s Yr3'!M12="","",'Cash Flow %s Yr3'!M12*'Revenue Input'!$F8))</f>
        <v>47584.462986284387</v>
      </c>
      <c r="N12" s="64">
        <f>IF('Revenue Input'!$F8="","",IF('Cash Flow %s Yr3'!N12="","",'Cash Flow %s Yr3'!N12*'Revenue Input'!$F8))</f>
        <v>47584.462986284387</v>
      </c>
      <c r="O12" s="64">
        <f>IF('Revenue Input'!$F8="","",IF('Cash Flow %s Yr3'!O12="","",'Cash Flow %s Yr3'!O12*'Revenue Input'!$F8))</f>
        <v>47584.462986284387</v>
      </c>
      <c r="P12" s="64">
        <f>IF('Revenue Input'!$F8="","",IF('Cash Flow %s Yr3'!P12="","",'Cash Flow %s Yr3'!P12*'Revenue Input'!$F8))</f>
        <v>47584.462986284387</v>
      </c>
      <c r="Q12" s="64">
        <f>IF('Revenue Input'!$F8="","",IF('Cash Flow %s Yr3'!Q12="","",'Cash Flow %s Yr3'!Q12*'Revenue Input'!$F8))</f>
        <v>10204.223729280986</v>
      </c>
      <c r="R12" s="64">
        <f>IF('Revenue Input'!$F8="","",IF('Cash Flow %s Yr3'!R12="","",'Cash Flow %s Yr3'!R12*'Revenue Input'!$F8))</f>
        <v>0</v>
      </c>
      <c r="S12" s="111">
        <f>IF(SUM(D12:R12)&gt;0,SUM(D12:R12)/'Revenue Input'!$F8,"")</f>
        <v>1.0193000000000001</v>
      </c>
    </row>
    <row r="13" spans="1:19" s="31" customFormat="1" x14ac:dyDescent="0.2">
      <c r="A13" s="50"/>
      <c r="B13" s="65" t="str">
        <f>'Revenue Input'!B9</f>
        <v>8012</v>
      </c>
      <c r="C13" s="65" t="str">
        <f>'Revenue Input'!C9</f>
        <v>LCFF for all grades; EPA portion</v>
      </c>
      <c r="D13" s="64">
        <f>IF('Revenue Input'!$F9="","",IF('Cash Flow %s Yr3'!D13="","",'Cash Flow %s Yr3'!D13*'Revenue Input'!$F9))</f>
        <v>0</v>
      </c>
      <c r="E13" s="64">
        <f>IF('Revenue Input'!$F9="","",IF('Cash Flow %s Yr3'!E13="","",'Cash Flow %s Yr3'!E13*'Revenue Input'!$F9))</f>
        <v>0</v>
      </c>
      <c r="F13" s="64">
        <f>IF('Revenue Input'!$F9="","",IF('Cash Flow %s Yr3'!F13="","",'Cash Flow %s Yr3'!F13*'Revenue Input'!$F9))</f>
        <v>0</v>
      </c>
      <c r="G13" s="64">
        <f>IF('Revenue Input'!$F9="","",IF('Cash Flow %s Yr3'!G13="","",'Cash Flow %s Yr3'!G13*'Revenue Input'!$F9))</f>
        <v>34535.764999999999</v>
      </c>
      <c r="H13" s="64">
        <f>IF('Revenue Input'!$F9="","",IF('Cash Flow %s Yr3'!H13="","",'Cash Flow %s Yr3'!H13*'Revenue Input'!$F9))</f>
        <v>0</v>
      </c>
      <c r="I13" s="64">
        <f>IF('Revenue Input'!$F9="","",IF('Cash Flow %s Yr3'!I13="","",'Cash Flow %s Yr3'!I13*'Revenue Input'!$F9))</f>
        <v>0</v>
      </c>
      <c r="J13" s="64">
        <f>IF('Revenue Input'!$F9="","",IF('Cash Flow %s Yr3'!J13="","",'Cash Flow %s Yr3'!J13*'Revenue Input'!$F9))</f>
        <v>34535.764999999999</v>
      </c>
      <c r="K13" s="64">
        <f>IF('Revenue Input'!$F9="","",IF('Cash Flow %s Yr3'!K13="","",'Cash Flow %s Yr3'!K13*'Revenue Input'!$F9))</f>
        <v>0</v>
      </c>
      <c r="L13" s="64">
        <f>IF('Revenue Input'!$F9="","",IF('Cash Flow %s Yr3'!L13="","",'Cash Flow %s Yr3'!L13*'Revenue Input'!$F9))</f>
        <v>0</v>
      </c>
      <c r="M13" s="64">
        <f>IF('Revenue Input'!$F9="","",IF('Cash Flow %s Yr3'!M13="","",'Cash Flow %s Yr3'!M13*'Revenue Input'!$F9))</f>
        <v>34535.764999999999</v>
      </c>
      <c r="N13" s="64">
        <f>IF('Revenue Input'!$F9="","",IF('Cash Flow %s Yr3'!N13="","",'Cash Flow %s Yr3'!N13*'Revenue Input'!$F9))</f>
        <v>0</v>
      </c>
      <c r="O13" s="64">
        <f>IF('Revenue Input'!$F9="","",IF('Cash Flow %s Yr3'!O13="","",'Cash Flow %s Yr3'!O13*'Revenue Input'!$F9))</f>
        <v>0</v>
      </c>
      <c r="P13" s="64">
        <f>IF('Revenue Input'!$F9="","",IF('Cash Flow %s Yr3'!P13="","",'Cash Flow %s Yr3'!P13*'Revenue Input'!$F9))</f>
        <v>34535.764999999999</v>
      </c>
      <c r="Q13" s="64">
        <f>IF('Revenue Input'!$F9="","",IF('Cash Flow %s Yr3'!Q13="","",'Cash Flow %s Yr3'!Q13*'Revenue Input'!$F9))</f>
        <v>0</v>
      </c>
      <c r="R13" s="64">
        <f>IF('Revenue Input'!$F9="","",IF('Cash Flow %s Yr3'!R13="","",'Cash Flow %s Yr3'!R13*'Revenue Input'!$F9))</f>
        <v>0</v>
      </c>
      <c r="S13" s="111">
        <f>IF(SUM(D13:R13)&gt;0,SUM(D13:R13)/'Revenue Input'!$F9,"")</f>
        <v>1</v>
      </c>
    </row>
    <row r="14" spans="1:19" s="31" customFormat="1" x14ac:dyDescent="0.2">
      <c r="A14" s="50"/>
      <c r="B14" s="65" t="str">
        <f>'Revenue Input'!B10</f>
        <v>8096</v>
      </c>
      <c r="C14" s="65" t="str">
        <f>'Revenue Input'!C10</f>
        <v>In-Lieu of Property Taxes, all grades</v>
      </c>
      <c r="D14" s="64">
        <f>IF('Revenue Input'!$F10="","",IF('Cash Flow %s Yr3'!D14="","",'Cash Flow %s Yr3'!D14*'Revenue Input'!$F10))</f>
        <v>0</v>
      </c>
      <c r="E14" s="64">
        <f>IF('Revenue Input'!$F10="","",IF('Cash Flow %s Yr3'!E14="","",'Cash Flow %s Yr3'!E14*'Revenue Input'!$F10))</f>
        <v>40947.896459999996</v>
      </c>
      <c r="F14" s="64">
        <f>IF('Revenue Input'!$F10="","",IF('Cash Flow %s Yr3'!F14="","",'Cash Flow %s Yr3'!F14*'Revenue Input'!$F10))</f>
        <v>27298.59764</v>
      </c>
      <c r="G14" s="64">
        <f>IF('Revenue Input'!$F10="","",IF('Cash Flow %s Yr3'!G14="","",'Cash Flow %s Yr3'!G14*'Revenue Input'!$F10))</f>
        <v>27298.59764</v>
      </c>
      <c r="H14" s="64">
        <f>IF('Revenue Input'!$F10="","",IF('Cash Flow %s Yr3'!H14="","",'Cash Flow %s Yr3'!H14*'Revenue Input'!$F10))</f>
        <v>27298.59764</v>
      </c>
      <c r="I14" s="64">
        <f>IF('Revenue Input'!$F10="","",IF('Cash Flow %s Yr3'!I14="","",'Cash Flow %s Yr3'!I14*'Revenue Input'!$F10))</f>
        <v>27298.59764</v>
      </c>
      <c r="J14" s="64">
        <f>IF('Revenue Input'!$F10="","",IF('Cash Flow %s Yr3'!J14="","",'Cash Flow %s Yr3'!J14*'Revenue Input'!$F10))</f>
        <v>27298.59764</v>
      </c>
      <c r="K14" s="64">
        <f>IF('Revenue Input'!$F10="","",IF('Cash Flow %s Yr3'!K14="","",'Cash Flow %s Yr3'!K14*'Revenue Input'!$F10))</f>
        <v>47772.545870000002</v>
      </c>
      <c r="L14" s="64">
        <f>IF('Revenue Input'!$F10="","",IF('Cash Flow %s Yr3'!L14="","",'Cash Flow %s Yr3'!L14*'Revenue Input'!$F10))</f>
        <v>23886.272935000001</v>
      </c>
      <c r="M14" s="64">
        <f>IF('Revenue Input'!$F10="","",IF('Cash Flow %s Yr3'!M14="","",'Cash Flow %s Yr3'!M14*'Revenue Input'!$F10))</f>
        <v>23886.272935000001</v>
      </c>
      <c r="N14" s="64">
        <f>IF('Revenue Input'!$F10="","",IF('Cash Flow %s Yr3'!N14="","",'Cash Flow %s Yr3'!N14*'Revenue Input'!$F10))</f>
        <v>23886.272935000001</v>
      </c>
      <c r="O14" s="64">
        <f>IF('Revenue Input'!$F10="","",IF('Cash Flow %s Yr3'!O14="","",'Cash Flow %s Yr3'!O14*'Revenue Input'!$F10))</f>
        <v>23886.272935000001</v>
      </c>
      <c r="P14" s="64">
        <f>IF('Revenue Input'!$F10="","",IF('Cash Flow %s Yr3'!P14="","",'Cash Flow %s Yr3'!P14*'Revenue Input'!$F10))</f>
        <v>0</v>
      </c>
      <c r="Q14" s="64">
        <f>IF('Revenue Input'!$F10="","",IF('Cash Flow %s Yr3'!Q14="","",'Cash Flow %s Yr3'!Q14*'Revenue Input'!$F10))</f>
        <v>0</v>
      </c>
      <c r="R14" s="64">
        <f>IF('Revenue Input'!$F10="","",IF('Cash Flow %s Yr3'!R14="","",'Cash Flow %s Yr3'!R14*'Revenue Input'!$F10))</f>
        <v>0</v>
      </c>
      <c r="S14" s="111">
        <f>IF(SUM(D14:R14)&gt;0,SUM(D14:R14)/'Revenue Input'!$F10,"")</f>
        <v>0.94000000000000006</v>
      </c>
    </row>
    <row r="15" spans="1:19" s="31" customFormat="1" x14ac:dyDescent="0.2">
      <c r="A15" s="50"/>
      <c r="B15" s="65" t="str">
        <f>'Revenue Input'!B11</f>
        <v>8599</v>
      </c>
      <c r="C15" s="65" t="str">
        <f>'Revenue Input'!C11</f>
        <v>Prior Year Income / Adjustments</v>
      </c>
      <c r="D15" s="64">
        <f>'Cash Flow $s Yr2'!P160</f>
        <v>84277.019637712801</v>
      </c>
      <c r="E15" s="64">
        <f>'Cash Flow $s Yr2'!Q160</f>
        <v>58712.96678284715</v>
      </c>
      <c r="F15" s="64">
        <f>'Cash Flow $s Yr2'!R160</f>
        <v>0</v>
      </c>
      <c r="G15" s="64" t="str">
        <f>IF('Revenue Input'!$F11="","",IF('Cash Flow %s Yr3'!G15="","",'Cash Flow %s Yr3'!G15*'Revenue Input'!$F11))</f>
        <v/>
      </c>
      <c r="H15" s="64" t="str">
        <f>IF('Revenue Input'!$F11="","",IF('Cash Flow %s Yr3'!H15="","",'Cash Flow %s Yr3'!H15*'Revenue Input'!$F11))</f>
        <v/>
      </c>
      <c r="I15" s="64" t="str">
        <f>IF('Revenue Input'!$F11="","",IF('Cash Flow %s Yr3'!I15="","",'Cash Flow %s Yr3'!I15*'Revenue Input'!$F11))</f>
        <v/>
      </c>
      <c r="J15" s="64" t="str">
        <f>IF('Revenue Input'!$F11="","",IF('Cash Flow %s Yr3'!J15="","",'Cash Flow %s Yr3'!J15*'Revenue Input'!$F11))</f>
        <v/>
      </c>
      <c r="K15" s="64" t="str">
        <f>IF('Revenue Input'!$F11="","",IF('Cash Flow %s Yr3'!K15="","",'Cash Flow %s Yr3'!K15*'Revenue Input'!$F11))</f>
        <v/>
      </c>
      <c r="L15" s="64" t="str">
        <f>IF('Revenue Input'!$F11="","",IF('Cash Flow %s Yr3'!L15="","",'Cash Flow %s Yr3'!L15*'Revenue Input'!$F11))</f>
        <v/>
      </c>
      <c r="M15" s="64" t="str">
        <f>IF('Revenue Input'!$F11="","",IF('Cash Flow %s Yr3'!M15="","",'Cash Flow %s Yr3'!M15*'Revenue Input'!$F11))</f>
        <v/>
      </c>
      <c r="N15" s="64" t="str">
        <f>IF('Revenue Input'!$F11="","",IF('Cash Flow %s Yr3'!N15="","",'Cash Flow %s Yr3'!N15*'Revenue Input'!$F11))</f>
        <v/>
      </c>
      <c r="O15" s="64" t="str">
        <f>IF('Revenue Input'!$F11="","",IF('Cash Flow %s Yr3'!O15="","",'Cash Flow %s Yr3'!O15*'Revenue Input'!$F11))</f>
        <v/>
      </c>
      <c r="P15" s="64" t="str">
        <f>IF('Revenue Input'!$F11="","",IF('Cash Flow %s Yr3'!P15="","",'Cash Flow %s Yr3'!P15*'Revenue Input'!$F11))</f>
        <v/>
      </c>
      <c r="Q15" s="64" t="str">
        <f>IF('Revenue Input'!$F11="","",IF('Cash Flow %s Yr3'!Q15="","",'Cash Flow %s Yr3'!Q15*'Revenue Input'!$F11))</f>
        <v/>
      </c>
      <c r="R15" s="64" t="str">
        <f>IF('Revenue Input'!$F11="","",IF('Cash Flow %s Yr3'!R15="","",'Cash Flow %s Yr3'!R15*'Revenue Input'!$F11))</f>
        <v/>
      </c>
      <c r="S15" s="111" t="e">
        <f>IF(SUM(D15:R15)&gt;0,SUM(D15:R15)/'Revenue Input'!$F11,"")</f>
        <v>#DIV/0!</v>
      </c>
    </row>
    <row r="16" spans="1:19" s="31" customFormat="1" x14ac:dyDescent="0.2">
      <c r="A16" s="50"/>
      <c r="B16" s="65" t="str">
        <f>'Revenue Input'!B12</f>
        <v>8181</v>
      </c>
      <c r="C16" s="65" t="str">
        <f>'Revenue Input'!C12</f>
        <v>Special Education</v>
      </c>
      <c r="D16" s="64" t="str">
        <f>IF('Revenue Input'!$F12="","",IF('Cash Flow %s Yr3'!D16="","",'Cash Flow %s Yr3'!D16*'Revenue Input'!$F12))</f>
        <v/>
      </c>
      <c r="E16" s="64" t="str">
        <f>IF('Revenue Input'!$F12="","",IF('Cash Flow %s Yr3'!E16="","",'Cash Flow %s Yr3'!E16*'Revenue Input'!$F12))</f>
        <v/>
      </c>
      <c r="F16" s="64" t="str">
        <f>IF('Revenue Input'!$F12="","",IF('Cash Flow %s Yr3'!F16="","",'Cash Flow %s Yr3'!F16*'Revenue Input'!$F12))</f>
        <v/>
      </c>
      <c r="G16" s="64" t="str">
        <f>IF('Revenue Input'!$F12="","",IF('Cash Flow %s Yr3'!G16="","",'Cash Flow %s Yr3'!G16*'Revenue Input'!$F12))</f>
        <v/>
      </c>
      <c r="H16" s="64" t="str">
        <f>IF('Revenue Input'!$F12="","",IF('Cash Flow %s Yr3'!H16="","",'Cash Flow %s Yr3'!H16*'Revenue Input'!$F12))</f>
        <v/>
      </c>
      <c r="I16" s="64" t="str">
        <f>IF('Revenue Input'!$F12="","",IF('Cash Flow %s Yr3'!I16="","",'Cash Flow %s Yr3'!I16*'Revenue Input'!$F12))</f>
        <v/>
      </c>
      <c r="J16" s="64" t="str">
        <f>IF('Revenue Input'!$F12="","",IF('Cash Flow %s Yr3'!J16="","",'Cash Flow %s Yr3'!J16*'Revenue Input'!$F12))</f>
        <v/>
      </c>
      <c r="K16" s="64" t="str">
        <f>IF('Revenue Input'!$F12="","",IF('Cash Flow %s Yr3'!K16="","",'Cash Flow %s Yr3'!K16*'Revenue Input'!$F12))</f>
        <v/>
      </c>
      <c r="L16" s="64" t="str">
        <f>IF('Revenue Input'!$F12="","",IF('Cash Flow %s Yr3'!L16="","",'Cash Flow %s Yr3'!L16*'Revenue Input'!$F12))</f>
        <v/>
      </c>
      <c r="M16" s="64" t="str">
        <f>IF('Revenue Input'!$F12="","",IF('Cash Flow %s Yr3'!M16="","",'Cash Flow %s Yr3'!M16*'Revenue Input'!$F12))</f>
        <v/>
      </c>
      <c r="N16" s="64" t="str">
        <f>IF('Revenue Input'!$F12="","",IF('Cash Flow %s Yr3'!N16="","",'Cash Flow %s Yr3'!N16*'Revenue Input'!$F12))</f>
        <v/>
      </c>
      <c r="O16" s="64" t="str">
        <f>IF('Revenue Input'!$F12="","",IF('Cash Flow %s Yr3'!O16="","",'Cash Flow %s Yr3'!O16*'Revenue Input'!$F12))</f>
        <v/>
      </c>
      <c r="P16" s="64" t="str">
        <f>IF('Revenue Input'!$F12="","",IF('Cash Flow %s Yr3'!P16="","",'Cash Flow %s Yr3'!P16*'Revenue Input'!$F12))</f>
        <v/>
      </c>
      <c r="Q16" s="64" t="str">
        <f>IF('Revenue Input'!$F12="","",IF('Cash Flow %s Yr3'!Q16="","",'Cash Flow %s Yr3'!Q16*'Revenue Input'!$F12))</f>
        <v/>
      </c>
      <c r="R16" s="64" t="str">
        <f>IF('Revenue Input'!$F12="","",IF('Cash Flow %s Yr3'!R16="","",'Cash Flow %s Yr3'!R16*'Revenue Input'!$F12))</f>
        <v/>
      </c>
      <c r="S16" s="111" t="str">
        <f>IF(SUM(D16:R16)&gt;0,SUM(D16:R16)/'Revenue Input'!$F12,"")</f>
        <v/>
      </c>
    </row>
    <row r="17" spans="1:19" s="31" customFormat="1" x14ac:dyDescent="0.2">
      <c r="A17" s="50"/>
      <c r="B17" s="65" t="str">
        <f>'Revenue Input'!B13</f>
        <v>8560</v>
      </c>
      <c r="C17" s="65" t="str">
        <f>'Revenue Input'!C13</f>
        <v>Lottery</v>
      </c>
      <c r="D17" s="64">
        <f>IF('Revenue Input'!$F13="","",IF('Cash Flow %s Yr3'!D17="","",'Cash Flow %s Yr3'!D17*'Revenue Input'!$F13))</f>
        <v>0</v>
      </c>
      <c r="E17" s="64">
        <f>IF('Revenue Input'!$F13="","",IF('Cash Flow %s Yr3'!E17="","",'Cash Flow %s Yr3'!E17*'Revenue Input'!$F13))</f>
        <v>0</v>
      </c>
      <c r="F17" s="64">
        <f>IF('Revenue Input'!$F13="","",IF('Cash Flow %s Yr3'!F17="","",'Cash Flow %s Yr3'!F17*'Revenue Input'!$F13))</f>
        <v>0</v>
      </c>
      <c r="G17" s="64">
        <f>IF('Revenue Input'!$F13="","",IF('Cash Flow %s Yr3'!G17="","",'Cash Flow %s Yr3'!G17*'Revenue Input'!$F13))</f>
        <v>0</v>
      </c>
      <c r="H17" s="64">
        <f>IF('Revenue Input'!$F13="","",IF('Cash Flow %s Yr3'!H17="","",'Cash Flow %s Yr3'!H17*'Revenue Input'!$F13))</f>
        <v>0</v>
      </c>
      <c r="I17" s="64">
        <f>IF('Revenue Input'!$F13="","",IF('Cash Flow %s Yr3'!I17="","",'Cash Flow %s Yr3'!I17*'Revenue Input'!$F13))</f>
        <v>5060.3074999999999</v>
      </c>
      <c r="J17" s="64">
        <f>IF('Revenue Input'!$F13="","",IF('Cash Flow %s Yr3'!J17="","",'Cash Flow %s Yr3'!J17*'Revenue Input'!$F13))</f>
        <v>0</v>
      </c>
      <c r="K17" s="64">
        <f>IF('Revenue Input'!$F13="","",IF('Cash Flow %s Yr3'!K17="","",'Cash Flow %s Yr3'!K17*'Revenue Input'!$F13))</f>
        <v>5060.3074999999999</v>
      </c>
      <c r="L17" s="64">
        <f>IF('Revenue Input'!$F13="","",IF('Cash Flow %s Yr3'!L17="","",'Cash Flow %s Yr3'!L17*'Revenue Input'!$F13))</f>
        <v>0</v>
      </c>
      <c r="M17" s="64">
        <f>IF('Revenue Input'!$F13="","",IF('Cash Flow %s Yr3'!M17="","",'Cash Flow %s Yr3'!M17*'Revenue Input'!$F13))</f>
        <v>5060.3074999999999</v>
      </c>
      <c r="N17" s="64">
        <f>IF('Revenue Input'!$F13="","",IF('Cash Flow %s Yr3'!N17="","",'Cash Flow %s Yr3'!N17*'Revenue Input'!$F13))</f>
        <v>0</v>
      </c>
      <c r="O17" s="64">
        <f>IF('Revenue Input'!$F13="","",IF('Cash Flow %s Yr3'!O17="","",'Cash Flow %s Yr3'!O17*'Revenue Input'!$F13))</f>
        <v>0</v>
      </c>
      <c r="P17" s="64">
        <f>IF('Revenue Input'!$F13="","",IF('Cash Flow %s Yr3'!P17="","",'Cash Flow %s Yr3'!P17*'Revenue Input'!$F13))</f>
        <v>5060.3074999999999</v>
      </c>
      <c r="Q17" s="64">
        <f>IF('Revenue Input'!$F13="","",IF('Cash Flow %s Yr3'!Q17="","",'Cash Flow %s Yr3'!Q17*'Revenue Input'!$F13))</f>
        <v>0</v>
      </c>
      <c r="R17" s="64">
        <f>IF('Revenue Input'!$F13="","",IF('Cash Flow %s Yr3'!R17="","",'Cash Flow %s Yr3'!R17*'Revenue Input'!$F13))</f>
        <v>0</v>
      </c>
      <c r="S17" s="111">
        <f>IF(SUM(D17:R17)&gt;0,SUM(D17:R17)/'Revenue Input'!$F13,"")</f>
        <v>1</v>
      </c>
    </row>
    <row r="18" spans="1:19" s="31" customFormat="1" x14ac:dyDescent="0.2">
      <c r="A18" s="49"/>
      <c r="B18" s="65" t="str">
        <f>'Revenue Input'!B14</f>
        <v>8520</v>
      </c>
      <c r="C18" s="65" t="str">
        <f>'Revenue Input'!C14</f>
        <v>State Child Nutrition program</v>
      </c>
      <c r="D18" s="64" t="str">
        <f>IF('Revenue Input'!$F14="","",IF('Cash Flow %s Yr3'!D18="","",'Cash Flow %s Yr3'!D18*'Revenue Input'!$F14))</f>
        <v/>
      </c>
      <c r="E18" s="64" t="str">
        <f>IF('Revenue Input'!$F14="","",IF('Cash Flow %s Yr3'!E18="","",'Cash Flow %s Yr3'!E18*'Revenue Input'!$F14))</f>
        <v/>
      </c>
      <c r="F18" s="64" t="str">
        <f>IF('Revenue Input'!$F14="","",IF('Cash Flow %s Yr3'!F18="","",'Cash Flow %s Yr3'!F18*'Revenue Input'!$F14))</f>
        <v/>
      </c>
      <c r="G18" s="64" t="str">
        <f>IF('Revenue Input'!$F14="","",IF('Cash Flow %s Yr3'!G18="","",'Cash Flow %s Yr3'!G18*'Revenue Input'!$F14))</f>
        <v/>
      </c>
      <c r="H18" s="64" t="str">
        <f>IF('Revenue Input'!$F14="","",IF('Cash Flow %s Yr3'!H18="","",'Cash Flow %s Yr3'!H18*'Revenue Input'!$F14))</f>
        <v/>
      </c>
      <c r="I18" s="64" t="str">
        <f>IF('Revenue Input'!$F14="","",IF('Cash Flow %s Yr3'!I18="","",'Cash Flow %s Yr3'!I18*'Revenue Input'!$F14))</f>
        <v/>
      </c>
      <c r="J18" s="64" t="str">
        <f>IF('Revenue Input'!$F14="","",IF('Cash Flow %s Yr3'!J18="","",'Cash Flow %s Yr3'!J18*'Revenue Input'!$F14))</f>
        <v/>
      </c>
      <c r="K18" s="64" t="str">
        <f>IF('Revenue Input'!$F14="","",IF('Cash Flow %s Yr3'!K18="","",'Cash Flow %s Yr3'!K18*'Revenue Input'!$F14))</f>
        <v/>
      </c>
      <c r="L18" s="64" t="str">
        <f>IF('Revenue Input'!$F14="","",IF('Cash Flow %s Yr3'!L18="","",'Cash Flow %s Yr3'!L18*'Revenue Input'!$F14))</f>
        <v/>
      </c>
      <c r="M18" s="64" t="str">
        <f>IF('Revenue Input'!$F14="","",IF('Cash Flow %s Yr3'!M18="","",'Cash Flow %s Yr3'!M18*'Revenue Input'!$F14))</f>
        <v/>
      </c>
      <c r="N18" s="64" t="str">
        <f>IF('Revenue Input'!$F14="","",IF('Cash Flow %s Yr3'!N18="","",'Cash Flow %s Yr3'!N18*'Revenue Input'!$F14))</f>
        <v/>
      </c>
      <c r="O18" s="64" t="str">
        <f>IF('Revenue Input'!$F14="","",IF('Cash Flow %s Yr3'!O18="","",'Cash Flow %s Yr3'!O18*'Revenue Input'!$F14))</f>
        <v/>
      </c>
      <c r="P18" s="64" t="str">
        <f>IF('Revenue Input'!$F14="","",IF('Cash Flow %s Yr3'!P18="","",'Cash Flow %s Yr3'!P18*'Revenue Input'!$F14))</f>
        <v/>
      </c>
      <c r="Q18" s="64" t="str">
        <f>IF('Revenue Input'!$F14="","",IF('Cash Flow %s Yr3'!Q18="","",'Cash Flow %s Yr3'!Q18*'Revenue Input'!$F14))</f>
        <v/>
      </c>
      <c r="R18" s="64" t="str">
        <f>IF('Revenue Input'!$F14="","",IF('Cash Flow %s Yr3'!R18="","",'Cash Flow %s Yr3'!R18*'Revenue Input'!$F14))</f>
        <v/>
      </c>
      <c r="S18" s="111" t="str">
        <f>IF(SUM(D18:R18)&gt;0,SUM(D18:R18)/'Revenue Input'!$F14,"")</f>
        <v/>
      </c>
    </row>
    <row r="19" spans="1:19" s="31" customFormat="1" x14ac:dyDescent="0.2">
      <c r="A19" s="50"/>
      <c r="B19" s="65" t="str">
        <f>'Revenue Input'!B15</f>
        <v>8591</v>
      </c>
      <c r="C19" s="65" t="str">
        <f>'Revenue Input'!C15</f>
        <v>SB 740 Rent re-imbursement program</v>
      </c>
      <c r="D19" s="64">
        <f>IF('Revenue Input'!$F15="","",IF('Cash Flow %s Yr3'!D19="","",'Cash Flow %s Yr3'!D19*'Revenue Input'!$F15))</f>
        <v>0</v>
      </c>
      <c r="E19" s="64">
        <f>IF('Revenue Input'!$F15="","",IF('Cash Flow %s Yr3'!E19="","",'Cash Flow %s Yr3'!E19*'Revenue Input'!$F15))</f>
        <v>0</v>
      </c>
      <c r="F19" s="64">
        <f>IF('Revenue Input'!$F15="","",IF('Cash Flow %s Yr3'!F19="","",'Cash Flow %s Yr3'!F19*'Revenue Input'!$F15))</f>
        <v>0</v>
      </c>
      <c r="G19" s="64">
        <f>IF('Revenue Input'!$F15="","",IF('Cash Flow %s Yr3'!G19="","",'Cash Flow %s Yr3'!G19*'Revenue Input'!$F15))</f>
        <v>0</v>
      </c>
      <c r="H19" s="64">
        <f>IF('Revenue Input'!$F15="","",IF('Cash Flow %s Yr3'!H19="","",'Cash Flow %s Yr3'!H19*'Revenue Input'!$F15))</f>
        <v>9989.2497374999984</v>
      </c>
      <c r="I19" s="64">
        <f>IF('Revenue Input'!$F15="","",IF('Cash Flow %s Yr3'!I19="","",'Cash Flow %s Yr3'!I19*'Revenue Input'!$F15))</f>
        <v>0</v>
      </c>
      <c r="J19" s="64">
        <f>IF('Revenue Input'!$F15="","",IF('Cash Flow %s Yr3'!J19="","",'Cash Flow %s Yr3'!J19*'Revenue Input'!$F15))</f>
        <v>0</v>
      </c>
      <c r="K19" s="64">
        <f>IF('Revenue Input'!$F15="","",IF('Cash Flow %s Yr3'!K19="","",'Cash Flow %s Yr3'!K19*'Revenue Input'!$F15))</f>
        <v>9989.2497374999984</v>
      </c>
      <c r="L19" s="64">
        <f>IF('Revenue Input'!$F15="","",IF('Cash Flow %s Yr3'!L19="","",'Cash Flow %s Yr3'!L19*'Revenue Input'!$F15))</f>
        <v>0</v>
      </c>
      <c r="M19" s="64">
        <f>IF('Revenue Input'!$F15="","",IF('Cash Flow %s Yr3'!M19="","",'Cash Flow %s Yr3'!M19*'Revenue Input'!$F15))</f>
        <v>0</v>
      </c>
      <c r="N19" s="64">
        <f>IF('Revenue Input'!$F15="","",IF('Cash Flow %s Yr3'!N19="","",'Cash Flow %s Yr3'!N19*'Revenue Input'!$F15))</f>
        <v>9989.2497374999984</v>
      </c>
      <c r="O19" s="64">
        <f>IF('Revenue Input'!$F15="","",IF('Cash Flow %s Yr3'!O19="","",'Cash Flow %s Yr3'!O19*'Revenue Input'!$F15))</f>
        <v>0</v>
      </c>
      <c r="P19" s="64">
        <f>IF('Revenue Input'!$F15="","",IF('Cash Flow %s Yr3'!P19="","",'Cash Flow %s Yr3'!P19*'Revenue Input'!$F15))</f>
        <v>0</v>
      </c>
      <c r="Q19" s="64">
        <f>IF('Revenue Input'!$F15="","",IF('Cash Flow %s Yr3'!Q19="","",'Cash Flow %s Yr3'!Q19*'Revenue Input'!$F15))</f>
        <v>9989.2497374999984</v>
      </c>
      <c r="R19" s="64">
        <f>IF('Revenue Input'!$F15="","",IF('Cash Flow %s Yr3'!R19="","",'Cash Flow %s Yr3'!R19*'Revenue Input'!$F15))</f>
        <v>0</v>
      </c>
      <c r="S19" s="111">
        <f>IF(SUM(D19:R19)&gt;0,SUM(D19:R19)/'Revenue Input'!$F15,"")</f>
        <v>1</v>
      </c>
    </row>
    <row r="20" spans="1:19" s="31" customFormat="1" ht="18" x14ac:dyDescent="0.2">
      <c r="A20" s="47"/>
      <c r="B20" s="65" t="str">
        <f>'Revenue Input'!B16</f>
        <v>8590</v>
      </c>
      <c r="C20" s="65" t="str">
        <f>'Revenue Input'!C16</f>
        <v>Educator Effectiveness</v>
      </c>
      <c r="D20" s="64" t="str">
        <f>IF('Revenue Input'!$F16="","",IF('Cash Flow %s Yr3'!D20="","",'Cash Flow %s Yr3'!D20*'Revenue Input'!$F16))</f>
        <v/>
      </c>
      <c r="E20" s="64" t="str">
        <f>IF('Revenue Input'!$F16="","",IF('Cash Flow %s Yr3'!E20="","",'Cash Flow %s Yr3'!E20*'Revenue Input'!$F16))</f>
        <v/>
      </c>
      <c r="F20" s="64" t="str">
        <f>IF('Revenue Input'!$F16="","",IF('Cash Flow %s Yr3'!F20="","",'Cash Flow %s Yr3'!F20*'Revenue Input'!$F16))</f>
        <v/>
      </c>
      <c r="G20" s="64" t="str">
        <f>IF('Revenue Input'!$F16="","",IF('Cash Flow %s Yr3'!G20="","",'Cash Flow %s Yr3'!G20*'Revenue Input'!$F16))</f>
        <v/>
      </c>
      <c r="H20" s="64" t="str">
        <f>IF('Revenue Input'!$F16="","",IF('Cash Flow %s Yr3'!H20="","",'Cash Flow %s Yr3'!H20*'Revenue Input'!$F16))</f>
        <v/>
      </c>
      <c r="I20" s="64" t="str">
        <f>IF('Revenue Input'!$F16="","",IF('Cash Flow %s Yr3'!I20="","",'Cash Flow %s Yr3'!I20*'Revenue Input'!$F16))</f>
        <v/>
      </c>
      <c r="J20" s="64" t="str">
        <f>IF('Revenue Input'!$F16="","",IF('Cash Flow %s Yr3'!J20="","",'Cash Flow %s Yr3'!J20*'Revenue Input'!$F16))</f>
        <v/>
      </c>
      <c r="K20" s="64" t="str">
        <f>IF('Revenue Input'!$F16="","",IF('Cash Flow %s Yr3'!K20="","",'Cash Flow %s Yr3'!K20*'Revenue Input'!$F16))</f>
        <v/>
      </c>
      <c r="L20" s="64" t="str">
        <f>IF('Revenue Input'!$F16="","",IF('Cash Flow %s Yr3'!L20="","",'Cash Flow %s Yr3'!L20*'Revenue Input'!$F16))</f>
        <v/>
      </c>
      <c r="M20" s="64" t="str">
        <f>IF('Revenue Input'!$F16="","",IF('Cash Flow %s Yr3'!M20="","",'Cash Flow %s Yr3'!M20*'Revenue Input'!$F16))</f>
        <v/>
      </c>
      <c r="N20" s="64" t="str">
        <f>IF('Revenue Input'!$F16="","",IF('Cash Flow %s Yr3'!N20="","",'Cash Flow %s Yr3'!N20*'Revenue Input'!$F16))</f>
        <v/>
      </c>
      <c r="O20" s="64" t="str">
        <f>IF('Revenue Input'!$F16="","",IF('Cash Flow %s Yr3'!O20="","",'Cash Flow %s Yr3'!O20*'Revenue Input'!$F16))</f>
        <v/>
      </c>
      <c r="P20" s="64" t="str">
        <f>IF('Revenue Input'!$F16="","",IF('Cash Flow %s Yr3'!P20="","",'Cash Flow %s Yr3'!P20*'Revenue Input'!$F16))</f>
        <v/>
      </c>
      <c r="Q20" s="64" t="str">
        <f>IF('Revenue Input'!$F16="","",IF('Cash Flow %s Yr3'!Q20="","",'Cash Flow %s Yr3'!Q20*'Revenue Input'!$F16))</f>
        <v/>
      </c>
      <c r="R20" s="64" t="str">
        <f>IF('Revenue Input'!$F16="","",IF('Cash Flow %s Yr3'!R20="","",'Cash Flow %s Yr3'!R20*'Revenue Input'!$F16))</f>
        <v/>
      </c>
      <c r="S20" s="111" t="str">
        <f>IF(SUM(D20:R20)&gt;0,SUM(D20:R20)/'Revenue Input'!$F16,"")</f>
        <v/>
      </c>
    </row>
    <row r="21" spans="1:19" s="31" customFormat="1" ht="18" x14ac:dyDescent="0.2">
      <c r="A21" s="47"/>
      <c r="B21" s="65" t="str">
        <f>'Revenue Input'!B17</f>
        <v>8550</v>
      </c>
      <c r="C21" s="65" t="str">
        <f>'Revenue Input'!C17</f>
        <v>Mandate Block Grant</v>
      </c>
      <c r="D21" s="64">
        <f>IF('Revenue Input'!$F17="","",IF('Cash Flow %s Yr3'!D22="","",'Cash Flow %s Yr3'!D22*'Revenue Input'!$F17))</f>
        <v>0</v>
      </c>
      <c r="E21" s="64">
        <f>IF('Revenue Input'!$F17="","",IF('Cash Flow %s Yr3'!E22="","",'Cash Flow %s Yr3'!E22*'Revenue Input'!$F17))</f>
        <v>0</v>
      </c>
      <c r="F21" s="64">
        <f>IF('Revenue Input'!$F17="","",IF('Cash Flow %s Yr3'!F22="","",'Cash Flow %s Yr3'!F22*'Revenue Input'!$F17))</f>
        <v>0</v>
      </c>
      <c r="G21" s="64">
        <f>IF('Revenue Input'!$F17="","",IF('Cash Flow %s Yr3'!G22="","",'Cash Flow %s Yr3'!G22*'Revenue Input'!$F17))</f>
        <v>0</v>
      </c>
      <c r="H21" s="64">
        <f>IF('Revenue Input'!$F17="","",IF('Cash Flow %s Yr3'!H22="","",'Cash Flow %s Yr3'!H22*'Revenue Input'!$F17))</f>
        <v>0</v>
      </c>
      <c r="I21" s="64">
        <f>IF('Revenue Input'!$F17="","",IF('Cash Flow %s Yr3'!I22="","",'Cash Flow %s Yr3'!I22*'Revenue Input'!$F17))</f>
        <v>1734.3356844</v>
      </c>
      <c r="J21" s="64">
        <f>IF('Revenue Input'!$F17="","",IF('Cash Flow %s Yr3'!J22="","",'Cash Flow %s Yr3'!J22*'Revenue Input'!$F17))</f>
        <v>0</v>
      </c>
      <c r="K21" s="64">
        <f>IF('Revenue Input'!$F17="","",IF('Cash Flow %s Yr3'!K22="","",'Cash Flow %s Yr3'!K22*'Revenue Input'!$F17))</f>
        <v>0</v>
      </c>
      <c r="L21" s="64">
        <f>IF('Revenue Input'!$F17="","",IF('Cash Flow %s Yr3'!L22="","",'Cash Flow %s Yr3'!L22*'Revenue Input'!$F17))</f>
        <v>433.5839211</v>
      </c>
      <c r="M21" s="64">
        <f>IF('Revenue Input'!$F17="","",IF('Cash Flow %s Yr3'!M22="","",'Cash Flow %s Yr3'!M22*'Revenue Input'!$F17))</f>
        <v>0</v>
      </c>
      <c r="N21" s="64">
        <f>IF('Revenue Input'!$F17="","",IF('Cash Flow %s Yr3'!N22="","",'Cash Flow %s Yr3'!N22*'Revenue Input'!$F17))</f>
        <v>0</v>
      </c>
      <c r="O21" s="64">
        <f>IF('Revenue Input'!$F17="","",IF('Cash Flow %s Yr3'!O22="","",'Cash Flow %s Yr3'!O22*'Revenue Input'!$F17))</f>
        <v>0</v>
      </c>
      <c r="P21" s="64">
        <f>IF('Revenue Input'!$F17="","",IF('Cash Flow %s Yr3'!P22="","",'Cash Flow %s Yr3'!P22*'Revenue Input'!$F17))</f>
        <v>0</v>
      </c>
      <c r="Q21" s="64">
        <f>IF('Revenue Input'!$F17="","",IF('Cash Flow %s Yr3'!Q22="","",'Cash Flow %s Yr3'!Q22*'Revenue Input'!$F17))</f>
        <v>0</v>
      </c>
      <c r="R21" s="64">
        <f>IF('Revenue Input'!$F17="","",IF('Cash Flow %s Yr3'!R22="","",'Cash Flow %s Yr3'!R22*'Revenue Input'!$F17))</f>
        <v>0</v>
      </c>
      <c r="S21" s="111">
        <f>IF(SUM(D21:R21)&gt;0,SUM(D21:R21)/'Revenue Input'!$F17,"")</f>
        <v>1.0000000000000002</v>
      </c>
    </row>
    <row r="22" spans="1:19" s="31" customFormat="1" ht="18" x14ac:dyDescent="0.2">
      <c r="A22" s="47"/>
      <c r="B22" s="65" t="str">
        <f>'Revenue Input'!B18</f>
        <v>8550</v>
      </c>
      <c r="C22" s="65" t="str">
        <f>'Revenue Input'!C18</f>
        <v>One Time Block Grant</v>
      </c>
      <c r="D22" s="64" t="str">
        <f>IF('Revenue Input'!$F18="","",IF('Cash Flow %s Yr3'!D22="","",'Cash Flow %s Yr3'!D22*'Revenue Input'!$F18))</f>
        <v/>
      </c>
      <c r="E22" s="64" t="str">
        <f>IF('Revenue Input'!$F18="","",IF('Cash Flow %s Yr3'!E22="","",'Cash Flow %s Yr3'!E22*'Revenue Input'!$F18))</f>
        <v/>
      </c>
      <c r="F22" s="64" t="str">
        <f>IF('Revenue Input'!$F18="","",IF('Cash Flow %s Yr3'!F22="","",'Cash Flow %s Yr3'!F22*'Revenue Input'!$F18))</f>
        <v/>
      </c>
      <c r="G22" s="64" t="str">
        <f>IF('Revenue Input'!$F18="","",IF('Cash Flow %s Yr3'!G22="","",'Cash Flow %s Yr3'!G22*'Revenue Input'!$F18))</f>
        <v/>
      </c>
      <c r="H22" s="64" t="str">
        <f>IF('Revenue Input'!$F18="","",IF('Cash Flow %s Yr3'!H22="","",'Cash Flow %s Yr3'!H22*'Revenue Input'!$F18))</f>
        <v/>
      </c>
      <c r="I22" s="64" t="str">
        <f>IF('Revenue Input'!$F18="","",IF('Cash Flow %s Yr3'!I22="","",'Cash Flow %s Yr3'!I22*'Revenue Input'!$F18))</f>
        <v/>
      </c>
      <c r="J22" s="64" t="str">
        <f>IF('Revenue Input'!$F18="","",IF('Cash Flow %s Yr3'!J22="","",'Cash Flow %s Yr3'!J22*'Revenue Input'!$F18))</f>
        <v/>
      </c>
      <c r="K22" s="64" t="str">
        <f>IF('Revenue Input'!$F18="","",IF('Cash Flow %s Yr3'!K22="","",'Cash Flow %s Yr3'!K22*'Revenue Input'!$F18))</f>
        <v/>
      </c>
      <c r="L22" s="64" t="str">
        <f>IF('Revenue Input'!$F18="","",IF('Cash Flow %s Yr3'!L22="","",'Cash Flow %s Yr3'!L22*'Revenue Input'!$F18))</f>
        <v/>
      </c>
      <c r="M22" s="64" t="str">
        <f>IF('Revenue Input'!$F18="","",IF('Cash Flow %s Yr3'!M22="","",'Cash Flow %s Yr3'!M22*'Revenue Input'!$F18))</f>
        <v/>
      </c>
      <c r="N22" s="64" t="str">
        <f>IF('Revenue Input'!$F18="","",IF('Cash Flow %s Yr3'!N22="","",'Cash Flow %s Yr3'!N22*'Revenue Input'!$F18))</f>
        <v/>
      </c>
      <c r="O22" s="64" t="str">
        <f>IF('Revenue Input'!$F18="","",IF('Cash Flow %s Yr3'!O22="","",'Cash Flow %s Yr3'!O22*'Revenue Input'!$F18))</f>
        <v/>
      </c>
      <c r="P22" s="64" t="str">
        <f>IF('Revenue Input'!$F18="","",IF('Cash Flow %s Yr3'!P22="","",'Cash Flow %s Yr3'!P22*'Revenue Input'!$F18))</f>
        <v/>
      </c>
      <c r="Q22" s="64" t="str">
        <f>IF('Revenue Input'!$F18="","",IF('Cash Flow %s Yr3'!Q22="","",'Cash Flow %s Yr3'!Q22*'Revenue Input'!$F18))</f>
        <v/>
      </c>
      <c r="R22" s="64" t="str">
        <f>IF('Revenue Input'!$F18="","",IF('Cash Flow %s Yr3'!R22="","",'Cash Flow %s Yr3'!R22*'Revenue Input'!$F18))</f>
        <v/>
      </c>
      <c r="S22" s="111" t="str">
        <f>IF(SUM(D22:R22)&gt;0,SUM(D22:R22)/'Revenue Input'!$F18,"")</f>
        <v/>
      </c>
    </row>
    <row r="23" spans="1:19" s="31" customFormat="1" ht="18" x14ac:dyDescent="0.2">
      <c r="A23" s="47"/>
      <c r="B23" s="73"/>
      <c r="C23" s="34" t="s">
        <v>721</v>
      </c>
      <c r="D23" s="172">
        <f>SUM(D12:D22)</f>
        <v>84277.019637712801</v>
      </c>
      <c r="E23" s="172">
        <f t="shared" ref="E23:R23" si="0">SUM(E12:E22)</f>
        <v>126096.67601300514</v>
      </c>
      <c r="F23" s="172">
        <f t="shared" si="0"/>
        <v>53734.410410157994</v>
      </c>
      <c r="G23" s="172">
        <f t="shared" si="0"/>
        <v>109418.82562628438</v>
      </c>
      <c r="H23" s="172">
        <f t="shared" si="0"/>
        <v>84872.310363784389</v>
      </c>
      <c r="I23" s="172">
        <f t="shared" si="0"/>
        <v>81677.703810684383</v>
      </c>
      <c r="J23" s="172">
        <f t="shared" si="0"/>
        <v>109418.82562628438</v>
      </c>
      <c r="K23" s="172">
        <f t="shared" si="0"/>
        <v>110406.56609378438</v>
      </c>
      <c r="L23" s="172">
        <f t="shared" si="0"/>
        <v>71904.319842384386</v>
      </c>
      <c r="M23" s="172">
        <f t="shared" si="0"/>
        <v>111066.80842128438</v>
      </c>
      <c r="N23" s="172">
        <f t="shared" si="0"/>
        <v>81459.985658784382</v>
      </c>
      <c r="O23" s="172">
        <f t="shared" si="0"/>
        <v>71470.735921284388</v>
      </c>
      <c r="P23" s="172">
        <f t="shared" si="0"/>
        <v>87180.535486284381</v>
      </c>
      <c r="Q23" s="172">
        <f t="shared" si="0"/>
        <v>20193.473466780983</v>
      </c>
      <c r="R23" s="172">
        <f t="shared" si="0"/>
        <v>0</v>
      </c>
      <c r="S23" s="111"/>
    </row>
    <row r="24" spans="1:19" s="31" customFormat="1" ht="18" x14ac:dyDescent="0.2">
      <c r="A24" s="47"/>
      <c r="B24" s="72"/>
      <c r="C24" s="50"/>
      <c r="D24" s="126"/>
      <c r="E24" s="126"/>
      <c r="F24" s="126"/>
      <c r="G24" s="126"/>
      <c r="H24" s="126"/>
      <c r="I24" s="126"/>
      <c r="J24" s="126"/>
      <c r="K24" s="126"/>
      <c r="L24" s="126"/>
      <c r="M24" s="126"/>
      <c r="N24" s="126"/>
      <c r="O24" s="126"/>
      <c r="P24" s="126"/>
      <c r="Q24" s="126"/>
      <c r="R24" s="126"/>
    </row>
    <row r="25" spans="1:19" s="31" customFormat="1" ht="18" x14ac:dyDescent="0.2">
      <c r="B25" s="47" t="s">
        <v>785</v>
      </c>
      <c r="C25" s="50"/>
      <c r="D25" s="126"/>
      <c r="E25" s="126"/>
      <c r="F25" s="126"/>
      <c r="G25" s="126"/>
      <c r="H25" s="126"/>
      <c r="I25" s="126"/>
      <c r="J25" s="126"/>
      <c r="K25" s="126"/>
      <c r="L25" s="126"/>
      <c r="M25" s="126"/>
      <c r="N25" s="126"/>
      <c r="O25" s="126"/>
      <c r="P25" s="126"/>
      <c r="Q25" s="126"/>
      <c r="R25" s="126"/>
    </row>
    <row r="26" spans="1:19" s="31" customFormat="1" ht="18" x14ac:dyDescent="0.2">
      <c r="A26" s="47"/>
      <c r="B26" s="65" t="str">
        <f>'Revenue Input'!B22</f>
        <v>8220</v>
      </c>
      <c r="C26" s="65" t="str">
        <f>'Revenue Input'!C22</f>
        <v>Federal Child Nutrition Programs</v>
      </c>
      <c r="D26" s="64" t="str">
        <f>IF('Revenue Input'!$F22="","",IF('Cash Flow %s Yr3'!D26="","",'Cash Flow %s Yr3'!D26*'Revenue Input'!$F22))</f>
        <v/>
      </c>
      <c r="E26" s="64" t="str">
        <f>IF('Revenue Input'!$F22="","",IF('Cash Flow %s Yr3'!E26="","",'Cash Flow %s Yr3'!E26*'Revenue Input'!$F22))</f>
        <v/>
      </c>
      <c r="F26" s="64" t="str">
        <f>IF('Revenue Input'!$F22="","",IF('Cash Flow %s Yr3'!F26="","",'Cash Flow %s Yr3'!F26*'Revenue Input'!$F22))</f>
        <v/>
      </c>
      <c r="G26" s="64" t="str">
        <f>IF('Revenue Input'!$F22="","",IF('Cash Flow %s Yr3'!G26="","",'Cash Flow %s Yr3'!G26*'Revenue Input'!$F22))</f>
        <v/>
      </c>
      <c r="H26" s="64" t="str">
        <f>IF('Revenue Input'!$F22="","",IF('Cash Flow %s Yr3'!H26="","",'Cash Flow %s Yr3'!H26*'Revenue Input'!$F22))</f>
        <v/>
      </c>
      <c r="I26" s="64" t="str">
        <f>IF('Revenue Input'!$F22="","",IF('Cash Flow %s Yr3'!I26="","",'Cash Flow %s Yr3'!I26*'Revenue Input'!$F22))</f>
        <v/>
      </c>
      <c r="J26" s="64" t="str">
        <f>IF('Revenue Input'!$F22="","",IF('Cash Flow %s Yr3'!J26="","",'Cash Flow %s Yr3'!J26*'Revenue Input'!$F22))</f>
        <v/>
      </c>
      <c r="K26" s="64" t="str">
        <f>IF('Revenue Input'!$F22="","",IF('Cash Flow %s Yr3'!K26="","",'Cash Flow %s Yr3'!K26*'Revenue Input'!$F22))</f>
        <v/>
      </c>
      <c r="L26" s="64" t="str">
        <f>IF('Revenue Input'!$F22="","",IF('Cash Flow %s Yr3'!L26="","",'Cash Flow %s Yr3'!L26*'Revenue Input'!$F22))</f>
        <v/>
      </c>
      <c r="M26" s="64" t="str">
        <f>IF('Revenue Input'!$F22="","",IF('Cash Flow %s Yr3'!M26="","",'Cash Flow %s Yr3'!M26*'Revenue Input'!$F22))</f>
        <v/>
      </c>
      <c r="N26" s="64" t="str">
        <f>IF('Revenue Input'!$F22="","",IF('Cash Flow %s Yr3'!N26="","",'Cash Flow %s Yr3'!N26*'Revenue Input'!$F22))</f>
        <v/>
      </c>
      <c r="O26" s="64" t="str">
        <f>IF('Revenue Input'!$F22="","",IF('Cash Flow %s Yr3'!O26="","",'Cash Flow %s Yr3'!O26*'Revenue Input'!$F22))</f>
        <v/>
      </c>
      <c r="P26" s="64" t="str">
        <f>IF('Revenue Input'!$F22="","",IF('Cash Flow %s Yr3'!P26="","",'Cash Flow %s Yr3'!P26*'Revenue Input'!$F22))</f>
        <v/>
      </c>
      <c r="Q26" s="64" t="str">
        <f>IF('Revenue Input'!$F22="","",IF('Cash Flow %s Yr3'!Q26="","",'Cash Flow %s Yr3'!Q26*'Revenue Input'!$F22))</f>
        <v/>
      </c>
      <c r="R26" s="64" t="str">
        <f>IF('Revenue Input'!$F22="","",IF('Cash Flow %s Yr3'!R26="","",'Cash Flow %s Yr3'!R26*'Revenue Input'!$F22))</f>
        <v/>
      </c>
      <c r="S26" s="111" t="str">
        <f>IF(SUM(D26:R26)&gt;0,SUM(D26:R26)/'Revenue Input'!$F22,"")</f>
        <v/>
      </c>
    </row>
    <row r="27" spans="1:19" s="31" customFormat="1" ht="18" x14ac:dyDescent="0.2">
      <c r="A27" s="47"/>
      <c r="B27" s="65" t="str">
        <f>'Revenue Input'!B23</f>
        <v>8290</v>
      </c>
      <c r="C27" s="65" t="str">
        <f>'Revenue Input'!C23</f>
        <v>All Other Federal Revenue, inc Facilities Incentive Grants program</v>
      </c>
      <c r="D27" s="64" t="str">
        <f>IF('Revenue Input'!$F23="","",IF('Cash Flow %s Yr3'!D27="","",'Cash Flow %s Yr3'!D27*'Revenue Input'!$F23))</f>
        <v/>
      </c>
      <c r="E27" s="64" t="str">
        <f>IF('Revenue Input'!$F23="","",IF('Cash Flow %s Yr3'!E27="","",'Cash Flow %s Yr3'!E27*'Revenue Input'!$F23))</f>
        <v/>
      </c>
      <c r="F27" s="64" t="str">
        <f>IF('Revenue Input'!$F23="","",IF('Cash Flow %s Yr3'!F27="","",'Cash Flow %s Yr3'!F27*'Revenue Input'!$F23))</f>
        <v/>
      </c>
      <c r="G27" s="64" t="str">
        <f>IF('Revenue Input'!$F23="","",IF('Cash Flow %s Yr3'!G27="","",'Cash Flow %s Yr3'!G27*'Revenue Input'!$F23))</f>
        <v/>
      </c>
      <c r="H27" s="64" t="str">
        <f>IF('Revenue Input'!$F23="","",IF('Cash Flow %s Yr3'!H27="","",'Cash Flow %s Yr3'!H27*'Revenue Input'!$F23))</f>
        <v/>
      </c>
      <c r="I27" s="64" t="str">
        <f>IF('Revenue Input'!$F23="","",IF('Cash Flow %s Yr3'!I27="","",'Cash Flow %s Yr3'!I27*'Revenue Input'!$F23))</f>
        <v/>
      </c>
      <c r="J27" s="64" t="str">
        <f>IF('Revenue Input'!$F23="","",IF('Cash Flow %s Yr3'!J27="","",'Cash Flow %s Yr3'!J27*'Revenue Input'!$F23))</f>
        <v/>
      </c>
      <c r="K27" s="64" t="str">
        <f>IF('Revenue Input'!$F23="","",IF('Cash Flow %s Yr3'!K27="","",'Cash Flow %s Yr3'!K27*'Revenue Input'!$F23))</f>
        <v/>
      </c>
      <c r="L27" s="64" t="str">
        <f>IF('Revenue Input'!$F23="","",IF('Cash Flow %s Yr3'!L27="","",'Cash Flow %s Yr3'!L27*'Revenue Input'!$F23))</f>
        <v/>
      </c>
      <c r="M27" s="64" t="str">
        <f>IF('Revenue Input'!$F23="","",IF('Cash Flow %s Yr3'!M27="","",'Cash Flow %s Yr3'!M27*'Revenue Input'!$F23))</f>
        <v/>
      </c>
      <c r="N27" s="64" t="str">
        <f>IF('Revenue Input'!$F23="","",IF('Cash Flow %s Yr3'!N27="","",'Cash Flow %s Yr3'!N27*'Revenue Input'!$F23))</f>
        <v/>
      </c>
      <c r="O27" s="64" t="str">
        <f>IF('Revenue Input'!$F23="","",IF('Cash Flow %s Yr3'!O27="","",'Cash Flow %s Yr3'!O27*'Revenue Input'!$F23))</f>
        <v/>
      </c>
      <c r="P27" s="64" t="str">
        <f>IF('Revenue Input'!$F23="","",IF('Cash Flow %s Yr3'!P27="","",'Cash Flow %s Yr3'!P27*'Revenue Input'!$F23))</f>
        <v/>
      </c>
      <c r="Q27" s="64" t="str">
        <f>IF('Revenue Input'!$F23="","",IF('Cash Flow %s Yr3'!Q27="","",'Cash Flow %s Yr3'!Q27*'Revenue Input'!$F23))</f>
        <v/>
      </c>
      <c r="R27" s="64" t="str">
        <f>IF('Revenue Input'!$F23="","",IF('Cash Flow %s Yr3'!R27="","",'Cash Flow %s Yr3'!R27*'Revenue Input'!$F23))</f>
        <v/>
      </c>
      <c r="S27" s="111" t="str">
        <f>IF(SUM(D27:R27)&gt;0,SUM(D27:R27)/'Revenue Input'!$F23,"")</f>
        <v/>
      </c>
    </row>
    <row r="28" spans="1:19" s="31" customFormat="1" ht="18" x14ac:dyDescent="0.2">
      <c r="A28" s="47"/>
      <c r="B28" s="65" t="str">
        <f>'Revenue Input'!B24</f>
        <v>8291</v>
      </c>
      <c r="C28" s="65" t="str">
        <f>'Revenue Input'!C24</f>
        <v>Title I</v>
      </c>
      <c r="D28" s="64" t="str">
        <f>IF('Revenue Input'!$F24="","",IF('Cash Flow %s Yr3'!D28="","",'Cash Flow %s Yr3'!D28*'Revenue Input'!$F24))</f>
        <v/>
      </c>
      <c r="E28" s="64" t="str">
        <f>IF('Revenue Input'!$F24="","",IF('Cash Flow %s Yr3'!E28="","",'Cash Flow %s Yr3'!E28*'Revenue Input'!$F24))</f>
        <v/>
      </c>
      <c r="F28" s="64" t="str">
        <f>IF('Revenue Input'!$F24="","",IF('Cash Flow %s Yr3'!F28="","",'Cash Flow %s Yr3'!F28*'Revenue Input'!$F24))</f>
        <v/>
      </c>
      <c r="G28" s="64" t="str">
        <f>IF('Revenue Input'!$F24="","",IF('Cash Flow %s Yr3'!G28="","",'Cash Flow %s Yr3'!G28*'Revenue Input'!$F24))</f>
        <v/>
      </c>
      <c r="H28" s="64" t="str">
        <f>IF('Revenue Input'!$F24="","",IF('Cash Flow %s Yr3'!H28="","",'Cash Flow %s Yr3'!H28*'Revenue Input'!$F24))</f>
        <v/>
      </c>
      <c r="I28" s="64" t="str">
        <f>IF('Revenue Input'!$F24="","",IF('Cash Flow %s Yr3'!I28="","",'Cash Flow %s Yr3'!I28*'Revenue Input'!$F24))</f>
        <v/>
      </c>
      <c r="J28" s="64" t="str">
        <f>IF('Revenue Input'!$F24="","",IF('Cash Flow %s Yr3'!J28="","",'Cash Flow %s Yr3'!J28*'Revenue Input'!$F24))</f>
        <v/>
      </c>
      <c r="K28" s="64" t="str">
        <f>IF('Revenue Input'!$F24="","",IF('Cash Flow %s Yr3'!K28="","",'Cash Flow %s Yr3'!K28*'Revenue Input'!$F24))</f>
        <v/>
      </c>
      <c r="L28" s="64" t="str">
        <f>IF('Revenue Input'!$F24="","",IF('Cash Flow %s Yr3'!L28="","",'Cash Flow %s Yr3'!L28*'Revenue Input'!$F24))</f>
        <v/>
      </c>
      <c r="M28" s="64" t="str">
        <f>IF('Revenue Input'!$F24="","",IF('Cash Flow %s Yr3'!M28="","",'Cash Flow %s Yr3'!M28*'Revenue Input'!$F24))</f>
        <v/>
      </c>
      <c r="N28" s="64" t="str">
        <f>IF('Revenue Input'!$F24="","",IF('Cash Flow %s Yr3'!N28="","",'Cash Flow %s Yr3'!N28*'Revenue Input'!$F24))</f>
        <v/>
      </c>
      <c r="O28" s="64" t="str">
        <f>IF('Revenue Input'!$F24="","",IF('Cash Flow %s Yr3'!O28="","",'Cash Flow %s Yr3'!O28*'Revenue Input'!$F24))</f>
        <v/>
      </c>
      <c r="P28" s="64" t="str">
        <f>IF('Revenue Input'!$F24="","",IF('Cash Flow %s Yr3'!P28="","",'Cash Flow %s Yr3'!P28*'Revenue Input'!$F24))</f>
        <v/>
      </c>
      <c r="Q28" s="64" t="str">
        <f>IF('Revenue Input'!$F24="","",IF('Cash Flow %s Yr3'!Q28="","",'Cash Flow %s Yr3'!Q28*'Revenue Input'!$F24))</f>
        <v/>
      </c>
      <c r="R28" s="64" t="str">
        <f>IF('Revenue Input'!$F24="","",IF('Cash Flow %s Yr3'!R28="","",'Cash Flow %s Yr3'!R28*'Revenue Input'!$F24))</f>
        <v/>
      </c>
      <c r="S28" s="111" t="str">
        <f>IF(SUM(D28:R28)&gt;0,SUM(D28:R28)/'Revenue Input'!$F24,"")</f>
        <v/>
      </c>
    </row>
    <row r="29" spans="1:19" s="31" customFormat="1" ht="18" x14ac:dyDescent="0.2">
      <c r="A29" s="47"/>
      <c r="B29" s="65" t="str">
        <f>'Revenue Input'!B25</f>
        <v>8292</v>
      </c>
      <c r="C29" s="65" t="str">
        <f>'Revenue Input'!C25</f>
        <v>Title II</v>
      </c>
      <c r="D29" s="64" t="str">
        <f>IF('Revenue Input'!$F25="","",IF('Cash Flow %s Yr3'!D29="","",'Cash Flow %s Yr3'!D29*'Revenue Input'!$F25))</f>
        <v/>
      </c>
      <c r="E29" s="64" t="str">
        <f>IF('Revenue Input'!$F25="","",IF('Cash Flow %s Yr3'!E29="","",'Cash Flow %s Yr3'!E29*'Revenue Input'!$F25))</f>
        <v/>
      </c>
      <c r="F29" s="64" t="str">
        <f>IF('Revenue Input'!$F25="","",IF('Cash Flow %s Yr3'!F29="","",'Cash Flow %s Yr3'!F29*'Revenue Input'!$F25))</f>
        <v/>
      </c>
      <c r="G29" s="64" t="str">
        <f>IF('Revenue Input'!$F25="","",IF('Cash Flow %s Yr3'!G29="","",'Cash Flow %s Yr3'!G29*'Revenue Input'!$F25))</f>
        <v/>
      </c>
      <c r="H29" s="64" t="str">
        <f>IF('Revenue Input'!$F25="","",IF('Cash Flow %s Yr3'!H29="","",'Cash Flow %s Yr3'!H29*'Revenue Input'!$F25))</f>
        <v/>
      </c>
      <c r="I29" s="64" t="str">
        <f>IF('Revenue Input'!$F25="","",IF('Cash Flow %s Yr3'!I29="","",'Cash Flow %s Yr3'!I29*'Revenue Input'!$F25))</f>
        <v/>
      </c>
      <c r="J29" s="64" t="str">
        <f>IF('Revenue Input'!$F25="","",IF('Cash Flow %s Yr3'!J29="","",'Cash Flow %s Yr3'!J29*'Revenue Input'!$F25))</f>
        <v/>
      </c>
      <c r="K29" s="64" t="str">
        <f>IF('Revenue Input'!$F25="","",IF('Cash Flow %s Yr3'!K29="","",'Cash Flow %s Yr3'!K29*'Revenue Input'!$F25))</f>
        <v/>
      </c>
      <c r="L29" s="64" t="str">
        <f>IF('Revenue Input'!$F25="","",IF('Cash Flow %s Yr3'!L29="","",'Cash Flow %s Yr3'!L29*'Revenue Input'!$F25))</f>
        <v/>
      </c>
      <c r="M29" s="64" t="str">
        <f>IF('Revenue Input'!$F25="","",IF('Cash Flow %s Yr3'!M29="","",'Cash Flow %s Yr3'!M29*'Revenue Input'!$F25))</f>
        <v/>
      </c>
      <c r="N29" s="64" t="str">
        <f>IF('Revenue Input'!$F25="","",IF('Cash Flow %s Yr3'!N29="","",'Cash Flow %s Yr3'!N29*'Revenue Input'!$F25))</f>
        <v/>
      </c>
      <c r="O29" s="64" t="str">
        <f>IF('Revenue Input'!$F25="","",IF('Cash Flow %s Yr3'!O29="","",'Cash Flow %s Yr3'!O29*'Revenue Input'!$F25))</f>
        <v/>
      </c>
      <c r="P29" s="64" t="str">
        <f>IF('Revenue Input'!$F25="","",IF('Cash Flow %s Yr3'!P29="","",'Cash Flow %s Yr3'!P29*'Revenue Input'!$F25))</f>
        <v/>
      </c>
      <c r="Q29" s="64" t="str">
        <f>IF('Revenue Input'!$F25="","",IF('Cash Flow %s Yr3'!Q29="","",'Cash Flow %s Yr3'!Q29*'Revenue Input'!$F25))</f>
        <v/>
      </c>
      <c r="R29" s="64" t="str">
        <f>IF('Revenue Input'!$F25="","",IF('Cash Flow %s Yr3'!R29="","",'Cash Flow %s Yr3'!R29*'Revenue Input'!$F25))</f>
        <v/>
      </c>
      <c r="S29" s="111" t="str">
        <f>IF(SUM(D29:R29)&gt;0,SUM(D29:R29)/'Revenue Input'!$F25,"")</f>
        <v/>
      </c>
    </row>
    <row r="30" spans="1:19" s="31" customFormat="1" ht="18" x14ac:dyDescent="0.2">
      <c r="A30" s="47"/>
      <c r="B30" s="65" t="str">
        <f>'Revenue Input'!B26</f>
        <v>8293</v>
      </c>
      <c r="C30" s="65" t="str">
        <f>'Revenue Input'!C26</f>
        <v>Title III</v>
      </c>
      <c r="D30" s="64" t="str">
        <f>IF('Revenue Input'!$F26="","",IF('Cash Flow %s Yr3'!D30="","",'Cash Flow %s Yr3'!D30*'Revenue Input'!$F26))</f>
        <v/>
      </c>
      <c r="E30" s="64" t="str">
        <f>IF('Revenue Input'!$F26="","",IF('Cash Flow %s Yr3'!E30="","",'Cash Flow %s Yr3'!E30*'Revenue Input'!$F26))</f>
        <v/>
      </c>
      <c r="F30" s="64" t="str">
        <f>IF('Revenue Input'!$F26="","",IF('Cash Flow %s Yr3'!F30="","",'Cash Flow %s Yr3'!F30*'Revenue Input'!$F26))</f>
        <v/>
      </c>
      <c r="G30" s="64" t="str">
        <f>IF('Revenue Input'!$F26="","",IF('Cash Flow %s Yr3'!G30="","",'Cash Flow %s Yr3'!G30*'Revenue Input'!$F26))</f>
        <v/>
      </c>
      <c r="H30" s="64" t="str">
        <f>IF('Revenue Input'!$F26="","",IF('Cash Flow %s Yr3'!H30="","",'Cash Flow %s Yr3'!H30*'Revenue Input'!$F26))</f>
        <v/>
      </c>
      <c r="I30" s="64" t="str">
        <f>IF('Revenue Input'!$F26="","",IF('Cash Flow %s Yr3'!I30="","",'Cash Flow %s Yr3'!I30*'Revenue Input'!$F26))</f>
        <v/>
      </c>
      <c r="J30" s="64" t="str">
        <f>IF('Revenue Input'!$F26="","",IF('Cash Flow %s Yr3'!J30="","",'Cash Flow %s Yr3'!J30*'Revenue Input'!$F26))</f>
        <v/>
      </c>
      <c r="K30" s="64" t="str">
        <f>IF('Revenue Input'!$F26="","",IF('Cash Flow %s Yr3'!K30="","",'Cash Flow %s Yr3'!K30*'Revenue Input'!$F26))</f>
        <v/>
      </c>
      <c r="L30" s="64" t="str">
        <f>IF('Revenue Input'!$F26="","",IF('Cash Flow %s Yr3'!L30="","",'Cash Flow %s Yr3'!L30*'Revenue Input'!$F26))</f>
        <v/>
      </c>
      <c r="M30" s="64" t="str">
        <f>IF('Revenue Input'!$F26="","",IF('Cash Flow %s Yr3'!M30="","",'Cash Flow %s Yr3'!M30*'Revenue Input'!$F26))</f>
        <v/>
      </c>
      <c r="N30" s="64" t="str">
        <f>IF('Revenue Input'!$F26="","",IF('Cash Flow %s Yr3'!N30="","",'Cash Flow %s Yr3'!N30*'Revenue Input'!$F26))</f>
        <v/>
      </c>
      <c r="O30" s="64" t="str">
        <f>IF('Revenue Input'!$F26="","",IF('Cash Flow %s Yr3'!O30="","",'Cash Flow %s Yr3'!O30*'Revenue Input'!$F26))</f>
        <v/>
      </c>
      <c r="P30" s="64" t="str">
        <f>IF('Revenue Input'!$F26="","",IF('Cash Flow %s Yr3'!P30="","",'Cash Flow %s Yr3'!P30*'Revenue Input'!$F26))</f>
        <v/>
      </c>
      <c r="Q30" s="64" t="str">
        <f>IF('Revenue Input'!$F26="","",IF('Cash Flow %s Yr3'!Q30="","",'Cash Flow %s Yr3'!Q30*'Revenue Input'!$F26))</f>
        <v/>
      </c>
      <c r="R30" s="64" t="str">
        <f>IF('Revenue Input'!$F26="","",IF('Cash Flow %s Yr3'!R30="","",'Cash Flow %s Yr3'!R30*'Revenue Input'!$F26))</f>
        <v/>
      </c>
      <c r="S30" s="111" t="str">
        <f>IF(SUM(D30:R30)&gt;0,SUM(D30:R30)/'Revenue Input'!$F26,"")</f>
        <v/>
      </c>
    </row>
    <row r="31" spans="1:19" s="31" customFormat="1" ht="18" x14ac:dyDescent="0.2">
      <c r="A31" s="47"/>
      <c r="B31" s="65" t="str">
        <f>'Revenue Input'!B27</f>
        <v>8294</v>
      </c>
      <c r="C31" s="65" t="str">
        <f>'Revenue Input'!C27</f>
        <v>Title IV</v>
      </c>
      <c r="D31" s="64" t="str">
        <f>IF('Revenue Input'!$F27="","",IF('Cash Flow %s Yr3'!D31="","",'Cash Flow %s Yr3'!D31*'Revenue Input'!$F27))</f>
        <v/>
      </c>
      <c r="E31" s="64" t="str">
        <f>IF('Revenue Input'!$F27="","",IF('Cash Flow %s Yr3'!E31="","",'Cash Flow %s Yr3'!E31*'Revenue Input'!$F27))</f>
        <v/>
      </c>
      <c r="F31" s="64" t="str">
        <f>IF('Revenue Input'!$F27="","",IF('Cash Flow %s Yr3'!F31="","",'Cash Flow %s Yr3'!F31*'Revenue Input'!$F27))</f>
        <v/>
      </c>
      <c r="G31" s="64" t="str">
        <f>IF('Revenue Input'!$F27="","",IF('Cash Flow %s Yr3'!G31="","",'Cash Flow %s Yr3'!G31*'Revenue Input'!$F27))</f>
        <v/>
      </c>
      <c r="H31" s="64" t="str">
        <f>IF('Revenue Input'!$F27="","",IF('Cash Flow %s Yr3'!H31="","",'Cash Flow %s Yr3'!H31*'Revenue Input'!$F27))</f>
        <v/>
      </c>
      <c r="I31" s="64" t="str">
        <f>IF('Revenue Input'!$F27="","",IF('Cash Flow %s Yr3'!I31="","",'Cash Flow %s Yr3'!I31*'Revenue Input'!$F27))</f>
        <v/>
      </c>
      <c r="J31" s="64" t="str">
        <f>IF('Revenue Input'!$F27="","",IF('Cash Flow %s Yr3'!J31="","",'Cash Flow %s Yr3'!J31*'Revenue Input'!$F27))</f>
        <v/>
      </c>
      <c r="K31" s="64" t="str">
        <f>IF('Revenue Input'!$F27="","",IF('Cash Flow %s Yr3'!K31="","",'Cash Flow %s Yr3'!K31*'Revenue Input'!$F27))</f>
        <v/>
      </c>
      <c r="L31" s="64" t="str">
        <f>IF('Revenue Input'!$F27="","",IF('Cash Flow %s Yr3'!L31="","",'Cash Flow %s Yr3'!L31*'Revenue Input'!$F27))</f>
        <v/>
      </c>
      <c r="M31" s="64" t="str">
        <f>IF('Revenue Input'!$F27="","",IF('Cash Flow %s Yr3'!M31="","",'Cash Flow %s Yr3'!M31*'Revenue Input'!$F27))</f>
        <v/>
      </c>
      <c r="N31" s="64" t="str">
        <f>IF('Revenue Input'!$F27="","",IF('Cash Flow %s Yr3'!N31="","",'Cash Flow %s Yr3'!N31*'Revenue Input'!$F27))</f>
        <v/>
      </c>
      <c r="O31" s="64" t="str">
        <f>IF('Revenue Input'!$F27="","",IF('Cash Flow %s Yr3'!O31="","",'Cash Flow %s Yr3'!O31*'Revenue Input'!$F27))</f>
        <v/>
      </c>
      <c r="P31" s="64" t="str">
        <f>IF('Revenue Input'!$F27="","",IF('Cash Flow %s Yr3'!P31="","",'Cash Flow %s Yr3'!P31*'Revenue Input'!$F27))</f>
        <v/>
      </c>
      <c r="Q31" s="64" t="str">
        <f>IF('Revenue Input'!$F27="","",IF('Cash Flow %s Yr3'!Q31="","",'Cash Flow %s Yr3'!Q31*'Revenue Input'!$F27))</f>
        <v/>
      </c>
      <c r="R31" s="64" t="str">
        <f>IF('Revenue Input'!$F27="","",IF('Cash Flow %s Yr3'!R31="","",'Cash Flow %s Yr3'!R31*'Revenue Input'!$F27))</f>
        <v/>
      </c>
      <c r="S31" s="111" t="str">
        <f>IF(SUM(D31:R31)&gt;0,SUM(D31:R31)/'Revenue Input'!$F27,"")</f>
        <v/>
      </c>
    </row>
    <row r="32" spans="1:19" s="31" customFormat="1" ht="18" x14ac:dyDescent="0.2">
      <c r="A32" s="47"/>
      <c r="B32" s="65" t="str">
        <f>'Revenue Input'!B28</f>
        <v>8295</v>
      </c>
      <c r="C32" s="65" t="str">
        <f>'Revenue Input'!C28</f>
        <v>Title V</v>
      </c>
      <c r="D32" s="64" t="str">
        <f>IF('Revenue Input'!$F28="","",IF('Cash Flow %s Yr3'!D32="","",'Cash Flow %s Yr3'!D32*'Revenue Input'!$F28))</f>
        <v/>
      </c>
      <c r="E32" s="64" t="str">
        <f>IF('Revenue Input'!$F28="","",IF('Cash Flow %s Yr3'!E32="","",'Cash Flow %s Yr3'!E32*'Revenue Input'!$F28))</f>
        <v/>
      </c>
      <c r="F32" s="64" t="str">
        <f>IF('Revenue Input'!$F28="","",IF('Cash Flow %s Yr3'!F32="","",'Cash Flow %s Yr3'!F32*'Revenue Input'!$F28))</f>
        <v/>
      </c>
      <c r="G32" s="64" t="str">
        <f>IF('Revenue Input'!$F28="","",IF('Cash Flow %s Yr3'!G32="","",'Cash Flow %s Yr3'!G32*'Revenue Input'!$F28))</f>
        <v/>
      </c>
      <c r="H32" s="64" t="str">
        <f>IF('Revenue Input'!$F28="","",IF('Cash Flow %s Yr3'!H32="","",'Cash Flow %s Yr3'!H32*'Revenue Input'!$F28))</f>
        <v/>
      </c>
      <c r="I32" s="64" t="str">
        <f>IF('Revenue Input'!$F28="","",IF('Cash Flow %s Yr3'!I32="","",'Cash Flow %s Yr3'!I32*'Revenue Input'!$F28))</f>
        <v/>
      </c>
      <c r="J32" s="64" t="str">
        <f>IF('Revenue Input'!$F28="","",IF('Cash Flow %s Yr3'!J32="","",'Cash Flow %s Yr3'!J32*'Revenue Input'!$F28))</f>
        <v/>
      </c>
      <c r="K32" s="64" t="str">
        <f>IF('Revenue Input'!$F28="","",IF('Cash Flow %s Yr3'!K32="","",'Cash Flow %s Yr3'!K32*'Revenue Input'!$F28))</f>
        <v/>
      </c>
      <c r="L32" s="64" t="str">
        <f>IF('Revenue Input'!$F28="","",IF('Cash Flow %s Yr3'!L32="","",'Cash Flow %s Yr3'!L32*'Revenue Input'!$F28))</f>
        <v/>
      </c>
      <c r="M32" s="64" t="str">
        <f>IF('Revenue Input'!$F28="","",IF('Cash Flow %s Yr3'!M32="","",'Cash Flow %s Yr3'!M32*'Revenue Input'!$F28))</f>
        <v/>
      </c>
      <c r="N32" s="64" t="str">
        <f>IF('Revenue Input'!$F28="","",IF('Cash Flow %s Yr3'!N32="","",'Cash Flow %s Yr3'!N32*'Revenue Input'!$F28))</f>
        <v/>
      </c>
      <c r="O32" s="64" t="str">
        <f>IF('Revenue Input'!$F28="","",IF('Cash Flow %s Yr3'!O32="","",'Cash Flow %s Yr3'!O32*'Revenue Input'!$F28))</f>
        <v/>
      </c>
      <c r="P32" s="64" t="str">
        <f>IF('Revenue Input'!$F28="","",IF('Cash Flow %s Yr3'!P32="","",'Cash Flow %s Yr3'!P32*'Revenue Input'!$F28))</f>
        <v/>
      </c>
      <c r="Q32" s="64" t="str">
        <f>IF('Revenue Input'!$F28="","",IF('Cash Flow %s Yr3'!Q32="","",'Cash Flow %s Yr3'!Q32*'Revenue Input'!$F28))</f>
        <v/>
      </c>
      <c r="R32" s="64" t="str">
        <f>IF('Revenue Input'!$F28="","",IF('Cash Flow %s Yr3'!R32="","",'Cash Flow %s Yr3'!R32*'Revenue Input'!$F28))</f>
        <v/>
      </c>
      <c r="S32" s="111" t="str">
        <f>IF(SUM(D32:R32)&gt;0,SUM(D32:R32)/'Revenue Input'!$F28,"")</f>
        <v/>
      </c>
    </row>
    <row r="33" spans="1:19" s="31" customFormat="1" ht="18" x14ac:dyDescent="0.2">
      <c r="A33" s="47"/>
      <c r="B33" s="65" t="str">
        <f>'Revenue Input'!B29</f>
        <v>8299</v>
      </c>
      <c r="C33" s="65" t="str">
        <f>'Revenue Input'!C29</f>
        <v>Prior Year Federal Revenue</v>
      </c>
      <c r="D33" s="64" t="str">
        <f>IF('Revenue Input'!$F29="","",IF('Cash Flow %s Yr3'!D33="","",'Cash Flow %s Yr3'!D33*'Revenue Input'!$F29))</f>
        <v/>
      </c>
      <c r="E33" s="64" t="str">
        <f>IF('Revenue Input'!$F29="","",IF('Cash Flow %s Yr3'!E33="","",'Cash Flow %s Yr3'!E33*'Revenue Input'!$F29))</f>
        <v/>
      </c>
      <c r="F33" s="64" t="str">
        <f>IF('Revenue Input'!$F29="","",IF('Cash Flow %s Yr3'!F33="","",'Cash Flow %s Yr3'!F33*'Revenue Input'!$F29))</f>
        <v/>
      </c>
      <c r="G33" s="64" t="str">
        <f>IF('Revenue Input'!$F29="","",IF('Cash Flow %s Yr3'!G33="","",'Cash Flow %s Yr3'!G33*'Revenue Input'!$F29))</f>
        <v/>
      </c>
      <c r="H33" s="64" t="str">
        <f>IF('Revenue Input'!$F29="","",IF('Cash Flow %s Yr3'!H33="","",'Cash Flow %s Yr3'!H33*'Revenue Input'!$F29))</f>
        <v/>
      </c>
      <c r="I33" s="64" t="str">
        <f>IF('Revenue Input'!$F29="","",IF('Cash Flow %s Yr3'!I33="","",'Cash Flow %s Yr3'!I33*'Revenue Input'!$F29))</f>
        <v/>
      </c>
      <c r="J33" s="64" t="str">
        <f>IF('Revenue Input'!$F29="","",IF('Cash Flow %s Yr3'!J33="","",'Cash Flow %s Yr3'!J33*'Revenue Input'!$F29))</f>
        <v/>
      </c>
      <c r="K33" s="64" t="str">
        <f>IF('Revenue Input'!$F29="","",IF('Cash Flow %s Yr3'!K33="","",'Cash Flow %s Yr3'!K33*'Revenue Input'!$F29))</f>
        <v/>
      </c>
      <c r="L33" s="64" t="str">
        <f>IF('Revenue Input'!$F29="","",IF('Cash Flow %s Yr3'!L33="","",'Cash Flow %s Yr3'!L33*'Revenue Input'!$F29))</f>
        <v/>
      </c>
      <c r="M33" s="64" t="str">
        <f>IF('Revenue Input'!$F29="","",IF('Cash Flow %s Yr3'!M33="","",'Cash Flow %s Yr3'!M33*'Revenue Input'!$F29))</f>
        <v/>
      </c>
      <c r="N33" s="64" t="str">
        <f>IF('Revenue Input'!$F29="","",IF('Cash Flow %s Yr3'!N33="","",'Cash Flow %s Yr3'!N33*'Revenue Input'!$F29))</f>
        <v/>
      </c>
      <c r="O33" s="64" t="str">
        <f>IF('Revenue Input'!$F29="","",IF('Cash Flow %s Yr3'!O33="","",'Cash Flow %s Yr3'!O33*'Revenue Input'!$F29))</f>
        <v/>
      </c>
      <c r="P33" s="64" t="str">
        <f>IF('Revenue Input'!$F29="","",IF('Cash Flow %s Yr3'!P33="","",'Cash Flow %s Yr3'!P33*'Revenue Input'!$F29))</f>
        <v/>
      </c>
      <c r="Q33" s="64" t="str">
        <f>IF('Revenue Input'!$F29="","",IF('Cash Flow %s Yr3'!Q33="","",'Cash Flow %s Yr3'!Q33*'Revenue Input'!$F29))</f>
        <v/>
      </c>
      <c r="R33" s="64" t="str">
        <f>IF('Revenue Input'!$F29="","",IF('Cash Flow %s Yr3'!R33="","",'Cash Flow %s Yr3'!R33*'Revenue Input'!$F29))</f>
        <v/>
      </c>
      <c r="S33" s="111" t="str">
        <f>IF(SUM(D33:R33)&gt;0,SUM(D33:R33)/'Revenue Input'!$F29,"")</f>
        <v/>
      </c>
    </row>
    <row r="34" spans="1:19" s="31" customFormat="1" ht="18" x14ac:dyDescent="0.2">
      <c r="A34" s="47"/>
      <c r="B34" s="73"/>
      <c r="C34" s="34" t="s">
        <v>721</v>
      </c>
      <c r="D34" s="172">
        <f>SUM(D26:D33)</f>
        <v>0</v>
      </c>
      <c r="E34" s="172">
        <f t="shared" ref="E34:R34" si="1">SUM(E26:E33)</f>
        <v>0</v>
      </c>
      <c r="F34" s="172">
        <f t="shared" si="1"/>
        <v>0</v>
      </c>
      <c r="G34" s="172">
        <f t="shared" si="1"/>
        <v>0</v>
      </c>
      <c r="H34" s="172">
        <f t="shared" si="1"/>
        <v>0</v>
      </c>
      <c r="I34" s="172">
        <f t="shared" si="1"/>
        <v>0</v>
      </c>
      <c r="J34" s="172">
        <f t="shared" si="1"/>
        <v>0</v>
      </c>
      <c r="K34" s="172">
        <f t="shared" si="1"/>
        <v>0</v>
      </c>
      <c r="L34" s="172">
        <f t="shared" si="1"/>
        <v>0</v>
      </c>
      <c r="M34" s="172">
        <f t="shared" si="1"/>
        <v>0</v>
      </c>
      <c r="N34" s="172">
        <f t="shared" si="1"/>
        <v>0</v>
      </c>
      <c r="O34" s="172">
        <f t="shared" si="1"/>
        <v>0</v>
      </c>
      <c r="P34" s="172">
        <f t="shared" si="1"/>
        <v>0</v>
      </c>
      <c r="Q34" s="172">
        <f t="shared" si="1"/>
        <v>0</v>
      </c>
      <c r="R34" s="172">
        <f t="shared" si="1"/>
        <v>0</v>
      </c>
      <c r="S34" s="107"/>
    </row>
    <row r="35" spans="1:19" s="31" customFormat="1" ht="18" x14ac:dyDescent="0.2">
      <c r="A35" s="47"/>
      <c r="B35" s="72"/>
      <c r="C35" s="50"/>
      <c r="D35" s="126"/>
      <c r="E35" s="126"/>
      <c r="F35" s="126"/>
      <c r="G35" s="126"/>
      <c r="H35" s="126"/>
      <c r="I35" s="126"/>
      <c r="J35" s="126"/>
      <c r="K35" s="126"/>
      <c r="L35" s="126"/>
      <c r="M35" s="126"/>
      <c r="N35" s="126"/>
      <c r="O35" s="126"/>
      <c r="P35" s="126"/>
      <c r="Q35" s="126"/>
      <c r="R35" s="126"/>
    </row>
    <row r="36" spans="1:19" s="31" customFormat="1" ht="18" x14ac:dyDescent="0.2">
      <c r="B36" s="47" t="s">
        <v>795</v>
      </c>
      <c r="C36" s="50"/>
      <c r="D36" s="126"/>
      <c r="E36" s="126"/>
      <c r="F36" s="126"/>
      <c r="G36" s="126"/>
      <c r="H36" s="126"/>
      <c r="I36" s="126"/>
      <c r="J36" s="126"/>
      <c r="K36" s="126"/>
      <c r="L36" s="126"/>
      <c r="M36" s="126"/>
      <c r="N36" s="126"/>
      <c r="O36" s="126"/>
      <c r="P36" s="126"/>
      <c r="Q36" s="126"/>
      <c r="R36" s="126"/>
    </row>
    <row r="37" spans="1:19" s="31" customFormat="1" ht="18" x14ac:dyDescent="0.2">
      <c r="A37" s="47"/>
      <c r="B37" s="65" t="str">
        <f>'Revenue Input'!B33</f>
        <v>8660</v>
      </c>
      <c r="C37" s="65" t="str">
        <f>'Revenue Input'!C33</f>
        <v>Interest</v>
      </c>
      <c r="D37" s="64">
        <f>IF('Revenue Input'!$F33="","",IF('Cash Flow %s Yr3'!D37="","",'Cash Flow %s Yr3'!D37*'Revenue Input'!$F33))</f>
        <v>83</v>
      </c>
      <c r="E37" s="64">
        <f>IF('Revenue Input'!$F33="","",IF('Cash Flow %s Yr3'!E37="","",'Cash Flow %s Yr3'!E37*'Revenue Input'!$F33))</f>
        <v>83</v>
      </c>
      <c r="F37" s="64">
        <f>IF('Revenue Input'!$F33="","",IF('Cash Flow %s Yr3'!F37="","",'Cash Flow %s Yr3'!F37*'Revenue Input'!$F33))</f>
        <v>83</v>
      </c>
      <c r="G37" s="64">
        <f>IF('Revenue Input'!$F33="","",IF('Cash Flow %s Yr3'!G37="","",'Cash Flow %s Yr3'!G37*'Revenue Input'!$F33))</f>
        <v>83</v>
      </c>
      <c r="H37" s="64">
        <f>IF('Revenue Input'!$F33="","",IF('Cash Flow %s Yr3'!H37="","",'Cash Flow %s Yr3'!H37*'Revenue Input'!$F33))</f>
        <v>83</v>
      </c>
      <c r="I37" s="64">
        <f>IF('Revenue Input'!$F33="","",IF('Cash Flow %s Yr3'!I37="","",'Cash Flow %s Yr3'!I37*'Revenue Input'!$F33))</f>
        <v>83</v>
      </c>
      <c r="J37" s="64">
        <f>IF('Revenue Input'!$F33="","",IF('Cash Flow %s Yr3'!J37="","",'Cash Flow %s Yr3'!J37*'Revenue Input'!$F33))</f>
        <v>83</v>
      </c>
      <c r="K37" s="64">
        <f>IF('Revenue Input'!$F33="","",IF('Cash Flow %s Yr3'!K37="","",'Cash Flow %s Yr3'!K37*'Revenue Input'!$F33))</f>
        <v>83</v>
      </c>
      <c r="L37" s="64">
        <f>IF('Revenue Input'!$F33="","",IF('Cash Flow %s Yr3'!L37="","",'Cash Flow %s Yr3'!L37*'Revenue Input'!$F33))</f>
        <v>84</v>
      </c>
      <c r="M37" s="64">
        <f>IF('Revenue Input'!$F33="","",IF('Cash Flow %s Yr3'!M37="","",'Cash Flow %s Yr3'!M37*'Revenue Input'!$F33))</f>
        <v>84</v>
      </c>
      <c r="N37" s="64">
        <f>IF('Revenue Input'!$F33="","",IF('Cash Flow %s Yr3'!N37="","",'Cash Flow %s Yr3'!N37*'Revenue Input'!$F33))</f>
        <v>84</v>
      </c>
      <c r="O37" s="64">
        <f>IF('Revenue Input'!$F33="","",IF('Cash Flow %s Yr3'!O37="","",'Cash Flow %s Yr3'!O37*'Revenue Input'!$F33))</f>
        <v>84</v>
      </c>
      <c r="P37" s="64">
        <f>IF('Revenue Input'!$F33="","",IF('Cash Flow %s Yr3'!P37="","",'Cash Flow %s Yr3'!P37*'Revenue Input'!$F33))</f>
        <v>0</v>
      </c>
      <c r="Q37" s="64">
        <f>IF('Revenue Input'!$F33="","",IF('Cash Flow %s Yr3'!Q37="","",'Cash Flow %s Yr3'!Q37*'Revenue Input'!$F33))</f>
        <v>0</v>
      </c>
      <c r="R37" s="64">
        <f>IF('Revenue Input'!$F33="","",IF('Cash Flow %s Yr3'!R37="","",'Cash Flow %s Yr3'!R37*'Revenue Input'!$F33))</f>
        <v>0</v>
      </c>
      <c r="S37" s="111">
        <f>IF(SUM(D37:R37)&gt;0,SUM(D37:R37)/'Revenue Input'!$F33,"")</f>
        <v>1</v>
      </c>
    </row>
    <row r="38" spans="1:19" s="31" customFormat="1" ht="18" x14ac:dyDescent="0.2">
      <c r="A38" s="47"/>
      <c r="B38" s="65" t="str">
        <f>'Revenue Input'!B34</f>
        <v>8782</v>
      </c>
      <c r="C38" s="65" t="str">
        <f>'Revenue Input'!C34</f>
        <v>All Other Transfers from County Offices</v>
      </c>
      <c r="D38" s="64" t="str">
        <f>IF('Revenue Input'!$F34="","",IF('Cash Flow %s Yr3'!D38="","",'Cash Flow %s Yr3'!D38*'Revenue Input'!$F34))</f>
        <v/>
      </c>
      <c r="E38" s="64" t="str">
        <f>IF('Revenue Input'!$F34="","",IF('Cash Flow %s Yr3'!E38="","",'Cash Flow %s Yr3'!E38*'Revenue Input'!$F34))</f>
        <v/>
      </c>
      <c r="F38" s="64" t="str">
        <f>IF('Revenue Input'!$F34="","",IF('Cash Flow %s Yr3'!F38="","",'Cash Flow %s Yr3'!F38*'Revenue Input'!$F34))</f>
        <v/>
      </c>
      <c r="G38" s="64" t="str">
        <f>IF('Revenue Input'!$F34="","",IF('Cash Flow %s Yr3'!G38="","",'Cash Flow %s Yr3'!G38*'Revenue Input'!$F34))</f>
        <v/>
      </c>
      <c r="H38" s="64" t="str">
        <f>IF('Revenue Input'!$F34="","",IF('Cash Flow %s Yr3'!H38="","",'Cash Flow %s Yr3'!H38*'Revenue Input'!$F34))</f>
        <v/>
      </c>
      <c r="I38" s="64" t="str">
        <f>IF('Revenue Input'!$F34="","",IF('Cash Flow %s Yr3'!I38="","",'Cash Flow %s Yr3'!I38*'Revenue Input'!$F34))</f>
        <v/>
      </c>
      <c r="J38" s="64" t="str">
        <f>IF('Revenue Input'!$F34="","",IF('Cash Flow %s Yr3'!J38="","",'Cash Flow %s Yr3'!J38*'Revenue Input'!$F34))</f>
        <v/>
      </c>
      <c r="K38" s="64" t="str">
        <f>IF('Revenue Input'!$F34="","",IF('Cash Flow %s Yr3'!K38="","",'Cash Flow %s Yr3'!K38*'Revenue Input'!$F34))</f>
        <v/>
      </c>
      <c r="L38" s="64" t="str">
        <f>IF('Revenue Input'!$F34="","",IF('Cash Flow %s Yr3'!L38="","",'Cash Flow %s Yr3'!L38*'Revenue Input'!$F34))</f>
        <v/>
      </c>
      <c r="M38" s="64" t="str">
        <f>IF('Revenue Input'!$F34="","",IF('Cash Flow %s Yr3'!M38="","",'Cash Flow %s Yr3'!M38*'Revenue Input'!$F34))</f>
        <v/>
      </c>
      <c r="N38" s="64" t="str">
        <f>IF('Revenue Input'!$F34="","",IF('Cash Flow %s Yr3'!N38="","",'Cash Flow %s Yr3'!N38*'Revenue Input'!$F34))</f>
        <v/>
      </c>
      <c r="O38" s="64" t="str">
        <f>IF('Revenue Input'!$F34="","",IF('Cash Flow %s Yr3'!O38="","",'Cash Flow %s Yr3'!O38*'Revenue Input'!$F34))</f>
        <v/>
      </c>
      <c r="P38" s="64" t="str">
        <f>IF('Revenue Input'!$F34="","",IF('Cash Flow %s Yr3'!P38="","",'Cash Flow %s Yr3'!P38*'Revenue Input'!$F34))</f>
        <v/>
      </c>
      <c r="Q38" s="64" t="str">
        <f>IF('Revenue Input'!$F34="","",IF('Cash Flow %s Yr3'!Q38="","",'Cash Flow %s Yr3'!Q38*'Revenue Input'!$F34))</f>
        <v/>
      </c>
      <c r="R38" s="64" t="str">
        <f>IF('Revenue Input'!$F34="","",IF('Cash Flow %s Yr3'!R38="","",'Cash Flow %s Yr3'!R38*'Revenue Input'!$F34))</f>
        <v/>
      </c>
      <c r="S38" s="111" t="str">
        <f>IF(SUM(D38:R38)&gt;0,SUM(D38:R38)/'Revenue Input'!$F34,"")</f>
        <v/>
      </c>
    </row>
    <row r="39" spans="1:19" s="31" customFormat="1" ht="18" x14ac:dyDescent="0.2">
      <c r="A39" s="47"/>
      <c r="B39" s="65" t="str">
        <f>'Revenue Input'!B35</f>
        <v>8784</v>
      </c>
      <c r="C39" s="65" t="str">
        <f>'Revenue Input'!C35</f>
        <v>All Other Transfers from Other Locations</v>
      </c>
      <c r="D39" s="64" t="str">
        <f>IF('Revenue Input'!$F35="","",IF('Cash Flow %s Yr3'!D39="","",'Cash Flow %s Yr3'!D39*'Revenue Input'!$F35))</f>
        <v/>
      </c>
      <c r="E39" s="64" t="str">
        <f>IF('Revenue Input'!$F35="","",IF('Cash Flow %s Yr3'!E39="","",'Cash Flow %s Yr3'!E39*'Revenue Input'!$F35))</f>
        <v/>
      </c>
      <c r="F39" s="64" t="str">
        <f>IF('Revenue Input'!$F35="","",IF('Cash Flow %s Yr3'!F39="","",'Cash Flow %s Yr3'!F39*'Revenue Input'!$F35))</f>
        <v/>
      </c>
      <c r="G39" s="64" t="str">
        <f>IF('Revenue Input'!$F35="","",IF('Cash Flow %s Yr3'!G39="","",'Cash Flow %s Yr3'!G39*'Revenue Input'!$F35))</f>
        <v/>
      </c>
      <c r="H39" s="64" t="str">
        <f>IF('Revenue Input'!$F35="","",IF('Cash Flow %s Yr3'!H39="","",'Cash Flow %s Yr3'!H39*'Revenue Input'!$F35))</f>
        <v/>
      </c>
      <c r="I39" s="64" t="str">
        <f>IF('Revenue Input'!$F35="","",IF('Cash Flow %s Yr3'!I39="","",'Cash Flow %s Yr3'!I39*'Revenue Input'!$F35))</f>
        <v/>
      </c>
      <c r="J39" s="64" t="str">
        <f>IF('Revenue Input'!$F35="","",IF('Cash Flow %s Yr3'!J39="","",'Cash Flow %s Yr3'!J39*'Revenue Input'!$F35))</f>
        <v/>
      </c>
      <c r="K39" s="64" t="str">
        <f>IF('Revenue Input'!$F35="","",IF('Cash Flow %s Yr3'!K39="","",'Cash Flow %s Yr3'!K39*'Revenue Input'!$F35))</f>
        <v/>
      </c>
      <c r="L39" s="64" t="str">
        <f>IF('Revenue Input'!$F35="","",IF('Cash Flow %s Yr3'!L39="","",'Cash Flow %s Yr3'!L39*'Revenue Input'!$F35))</f>
        <v/>
      </c>
      <c r="M39" s="64" t="str">
        <f>IF('Revenue Input'!$F35="","",IF('Cash Flow %s Yr3'!M39="","",'Cash Flow %s Yr3'!M39*'Revenue Input'!$F35))</f>
        <v/>
      </c>
      <c r="N39" s="64" t="str">
        <f>IF('Revenue Input'!$F35="","",IF('Cash Flow %s Yr3'!N39="","",'Cash Flow %s Yr3'!N39*'Revenue Input'!$F35))</f>
        <v/>
      </c>
      <c r="O39" s="64" t="str">
        <f>IF('Revenue Input'!$F35="","",IF('Cash Flow %s Yr3'!O39="","",'Cash Flow %s Yr3'!O39*'Revenue Input'!$F35))</f>
        <v/>
      </c>
      <c r="P39" s="64" t="str">
        <f>IF('Revenue Input'!$F35="","",IF('Cash Flow %s Yr3'!P39="","",'Cash Flow %s Yr3'!P39*'Revenue Input'!$F35))</f>
        <v/>
      </c>
      <c r="Q39" s="64" t="str">
        <f>IF('Revenue Input'!$F35="","",IF('Cash Flow %s Yr3'!Q39="","",'Cash Flow %s Yr3'!Q39*'Revenue Input'!$F35))</f>
        <v/>
      </c>
      <c r="R39" s="64" t="str">
        <f>IF('Revenue Input'!$F35="","",IF('Cash Flow %s Yr3'!R39="","",'Cash Flow %s Yr3'!R39*'Revenue Input'!$F35))</f>
        <v/>
      </c>
      <c r="S39" s="111" t="str">
        <f>IF(SUM(D39:R39)&gt;0,SUM(D39:R39)/'Revenue Input'!$F35,"")</f>
        <v/>
      </c>
    </row>
    <row r="40" spans="1:19" s="31" customFormat="1" x14ac:dyDescent="0.2">
      <c r="A40" s="49"/>
      <c r="B40" s="65" t="str">
        <f>'Revenue Input'!B36</f>
        <v>8785</v>
      </c>
      <c r="C40" s="65" t="str">
        <f>'Revenue Input'!C36</f>
        <v>CMO Management fee</v>
      </c>
      <c r="D40" s="64" t="str">
        <f>IF('Revenue Input'!$F36="","",IF('Cash Flow %s Yr3'!D40="","",'Cash Flow %s Yr3'!D40*'Revenue Input'!$F36))</f>
        <v/>
      </c>
      <c r="E40" s="64" t="str">
        <f>IF('Revenue Input'!$F36="","",IF('Cash Flow %s Yr3'!E40="","",'Cash Flow %s Yr3'!E40*'Revenue Input'!$F36))</f>
        <v/>
      </c>
      <c r="F40" s="64" t="str">
        <f>IF('Revenue Input'!$F36="","",IF('Cash Flow %s Yr3'!F40="","",'Cash Flow %s Yr3'!F40*'Revenue Input'!$F36))</f>
        <v/>
      </c>
      <c r="G40" s="64" t="str">
        <f>IF('Revenue Input'!$F36="","",IF('Cash Flow %s Yr3'!G40="","",'Cash Flow %s Yr3'!G40*'Revenue Input'!$F36))</f>
        <v/>
      </c>
      <c r="H40" s="64" t="str">
        <f>IF('Revenue Input'!$F36="","",IF('Cash Flow %s Yr3'!H40="","",'Cash Flow %s Yr3'!H40*'Revenue Input'!$F36))</f>
        <v/>
      </c>
      <c r="I40" s="64" t="str">
        <f>IF('Revenue Input'!$F36="","",IF('Cash Flow %s Yr3'!I40="","",'Cash Flow %s Yr3'!I40*'Revenue Input'!$F36))</f>
        <v/>
      </c>
      <c r="J40" s="64" t="str">
        <f>IF('Revenue Input'!$F36="","",IF('Cash Flow %s Yr3'!J40="","",'Cash Flow %s Yr3'!J40*'Revenue Input'!$F36))</f>
        <v/>
      </c>
      <c r="K40" s="64" t="str">
        <f>IF('Revenue Input'!$F36="","",IF('Cash Flow %s Yr3'!K40="","",'Cash Flow %s Yr3'!K40*'Revenue Input'!$F36))</f>
        <v/>
      </c>
      <c r="L40" s="64" t="str">
        <f>IF('Revenue Input'!$F36="","",IF('Cash Flow %s Yr3'!L40="","",'Cash Flow %s Yr3'!L40*'Revenue Input'!$F36))</f>
        <v/>
      </c>
      <c r="M40" s="64" t="str">
        <f>IF('Revenue Input'!$F36="","",IF('Cash Flow %s Yr3'!M40="","",'Cash Flow %s Yr3'!M40*'Revenue Input'!$F36))</f>
        <v/>
      </c>
      <c r="N40" s="64" t="str">
        <f>IF('Revenue Input'!$F36="","",IF('Cash Flow %s Yr3'!N40="","",'Cash Flow %s Yr3'!N40*'Revenue Input'!$F36))</f>
        <v/>
      </c>
      <c r="O40" s="64" t="str">
        <f>IF('Revenue Input'!$F36="","",IF('Cash Flow %s Yr3'!O40="","",'Cash Flow %s Yr3'!O40*'Revenue Input'!$F36))</f>
        <v/>
      </c>
      <c r="P40" s="64" t="str">
        <f>IF('Revenue Input'!$F36="","",IF('Cash Flow %s Yr3'!P40="","",'Cash Flow %s Yr3'!P40*'Revenue Input'!$F36))</f>
        <v/>
      </c>
      <c r="Q40" s="64" t="str">
        <f>IF('Revenue Input'!$F36="","",IF('Cash Flow %s Yr3'!Q40="","",'Cash Flow %s Yr3'!Q40*'Revenue Input'!$F36))</f>
        <v/>
      </c>
      <c r="R40" s="64" t="str">
        <f>IF('Revenue Input'!$F36="","",IF('Cash Flow %s Yr3'!R40="","",'Cash Flow %s Yr3'!R40*'Revenue Input'!$F36))</f>
        <v/>
      </c>
      <c r="S40" s="111" t="str">
        <f>IF(SUM(D40:R40)&gt;0,SUM(D40:R40)/'Revenue Input'!$F36,"")</f>
        <v/>
      </c>
    </row>
    <row r="41" spans="1:19" s="31" customFormat="1" x14ac:dyDescent="0.2">
      <c r="A41" s="50"/>
      <c r="B41" s="65" t="str">
        <f>'Revenue Input'!B37</f>
        <v>8792</v>
      </c>
      <c r="C41" s="65" t="str">
        <f>'Revenue Input'!C37</f>
        <v>Special Ed - AB 602</v>
      </c>
      <c r="D41" s="64" t="str">
        <f>IF('Revenue Input'!$F37="","",IF('Cash Flow %s Yr3'!D41="","",'Cash Flow %s Yr3'!D41*'Revenue Input'!$F37))</f>
        <v/>
      </c>
      <c r="E41" s="64" t="str">
        <f>IF('Revenue Input'!$F37="","",IF('Cash Flow %s Yr3'!E41="","",'Cash Flow %s Yr3'!E41*'Revenue Input'!$F37))</f>
        <v/>
      </c>
      <c r="F41" s="64" t="str">
        <f>IF('Revenue Input'!$F37="","",IF('Cash Flow %s Yr3'!F41="","",'Cash Flow %s Yr3'!F41*'Revenue Input'!$F37))</f>
        <v/>
      </c>
      <c r="G41" s="64" t="str">
        <f>IF('Revenue Input'!$F37="","",IF('Cash Flow %s Yr3'!G41="","",'Cash Flow %s Yr3'!G41*'Revenue Input'!$F37))</f>
        <v/>
      </c>
      <c r="H41" s="64" t="str">
        <f>IF('Revenue Input'!$F37="","",IF('Cash Flow %s Yr3'!H41="","",'Cash Flow %s Yr3'!H41*'Revenue Input'!$F37))</f>
        <v/>
      </c>
      <c r="I41" s="64" t="str">
        <f>IF('Revenue Input'!$F37="","",IF('Cash Flow %s Yr3'!I41="","",'Cash Flow %s Yr3'!I41*'Revenue Input'!$F37))</f>
        <v/>
      </c>
      <c r="J41" s="64" t="str">
        <f>IF('Revenue Input'!$F37="","",IF('Cash Flow %s Yr3'!J41="","",'Cash Flow %s Yr3'!J41*'Revenue Input'!$F37))</f>
        <v/>
      </c>
      <c r="K41" s="64" t="str">
        <f>IF('Revenue Input'!$F37="","",IF('Cash Flow %s Yr3'!K41="","",'Cash Flow %s Yr3'!K41*'Revenue Input'!$F37))</f>
        <v/>
      </c>
      <c r="L41" s="64" t="str">
        <f>IF('Revenue Input'!$F37="","",IF('Cash Flow %s Yr3'!L41="","",'Cash Flow %s Yr3'!L41*'Revenue Input'!$F37))</f>
        <v/>
      </c>
      <c r="M41" s="64" t="str">
        <f>IF('Revenue Input'!$F37="","",IF('Cash Flow %s Yr3'!M41="","",'Cash Flow %s Yr3'!M41*'Revenue Input'!$F37))</f>
        <v/>
      </c>
      <c r="N41" s="64" t="str">
        <f>IF('Revenue Input'!$F37="","",IF('Cash Flow %s Yr3'!N41="","",'Cash Flow %s Yr3'!N41*'Revenue Input'!$F37))</f>
        <v/>
      </c>
      <c r="O41" s="64" t="str">
        <f>IF('Revenue Input'!$F37="","",IF('Cash Flow %s Yr3'!O41="","",'Cash Flow %s Yr3'!O41*'Revenue Input'!$F37))</f>
        <v/>
      </c>
      <c r="P41" s="64" t="str">
        <f>IF('Revenue Input'!$F37="","",IF('Cash Flow %s Yr3'!P41="","",'Cash Flow %s Yr3'!P41*'Revenue Input'!$F37))</f>
        <v/>
      </c>
      <c r="Q41" s="64" t="str">
        <f>IF('Revenue Input'!$F37="","",IF('Cash Flow %s Yr3'!Q41="","",'Cash Flow %s Yr3'!Q41*'Revenue Input'!$F37))</f>
        <v/>
      </c>
      <c r="R41" s="64" t="str">
        <f>IF('Revenue Input'!$F37="","",IF('Cash Flow %s Yr3'!R41="","",'Cash Flow %s Yr3'!R41*'Revenue Input'!$F37))</f>
        <v/>
      </c>
      <c r="S41" s="111" t="str">
        <f>IF(SUM(D41:R41)&gt;0,SUM(D41:R41)/'Revenue Input'!$F37,"")</f>
        <v/>
      </c>
    </row>
    <row r="42" spans="1:19" s="31" customFormat="1" ht="18" x14ac:dyDescent="0.2">
      <c r="A42" s="47"/>
      <c r="B42" s="65" t="str">
        <f>'Revenue Input'!B38</f>
        <v>8980</v>
      </c>
      <c r="C42" s="65" t="str">
        <f>'Revenue Input'!C38</f>
        <v>Student Lunch Revenue</v>
      </c>
      <c r="D42" s="64" t="str">
        <f>IF('Revenue Input'!$F38="","",IF('Cash Flow %s Yr3'!D42="","",'Cash Flow %s Yr3'!D42*'Revenue Input'!$F38))</f>
        <v/>
      </c>
      <c r="E42" s="64" t="str">
        <f>IF('Revenue Input'!$F38="","",IF('Cash Flow %s Yr3'!E42="","",'Cash Flow %s Yr3'!E42*'Revenue Input'!$F38))</f>
        <v/>
      </c>
      <c r="F42" s="64" t="str">
        <f>IF('Revenue Input'!$F38="","",IF('Cash Flow %s Yr3'!F42="","",'Cash Flow %s Yr3'!F42*'Revenue Input'!$F38))</f>
        <v/>
      </c>
      <c r="G42" s="64" t="str">
        <f>IF('Revenue Input'!$F38="","",IF('Cash Flow %s Yr3'!G42="","",'Cash Flow %s Yr3'!G42*'Revenue Input'!$F38))</f>
        <v/>
      </c>
      <c r="H42" s="64" t="str">
        <f>IF('Revenue Input'!$F38="","",IF('Cash Flow %s Yr3'!H42="","",'Cash Flow %s Yr3'!H42*'Revenue Input'!$F38))</f>
        <v/>
      </c>
      <c r="I42" s="64" t="str">
        <f>IF('Revenue Input'!$F38="","",IF('Cash Flow %s Yr3'!I42="","",'Cash Flow %s Yr3'!I42*'Revenue Input'!$F38))</f>
        <v/>
      </c>
      <c r="J42" s="64" t="str">
        <f>IF('Revenue Input'!$F38="","",IF('Cash Flow %s Yr3'!J42="","",'Cash Flow %s Yr3'!J42*'Revenue Input'!$F38))</f>
        <v/>
      </c>
      <c r="K42" s="64" t="str">
        <f>IF('Revenue Input'!$F38="","",IF('Cash Flow %s Yr3'!K42="","",'Cash Flow %s Yr3'!K42*'Revenue Input'!$F38))</f>
        <v/>
      </c>
      <c r="L42" s="64" t="str">
        <f>IF('Revenue Input'!$F38="","",IF('Cash Flow %s Yr3'!L42="","",'Cash Flow %s Yr3'!L42*'Revenue Input'!$F38))</f>
        <v/>
      </c>
      <c r="M42" s="64" t="str">
        <f>IF('Revenue Input'!$F38="","",IF('Cash Flow %s Yr3'!M42="","",'Cash Flow %s Yr3'!M42*'Revenue Input'!$F38))</f>
        <v/>
      </c>
      <c r="N42" s="64" t="str">
        <f>IF('Revenue Input'!$F38="","",IF('Cash Flow %s Yr3'!N42="","",'Cash Flow %s Yr3'!N42*'Revenue Input'!$F38))</f>
        <v/>
      </c>
      <c r="O42" s="64" t="str">
        <f>IF('Revenue Input'!$F38="","",IF('Cash Flow %s Yr3'!O42="","",'Cash Flow %s Yr3'!O42*'Revenue Input'!$F38))</f>
        <v/>
      </c>
      <c r="P42" s="64" t="str">
        <f>IF('Revenue Input'!$F38="","",IF('Cash Flow %s Yr3'!P42="","",'Cash Flow %s Yr3'!P42*'Revenue Input'!$F38))</f>
        <v/>
      </c>
      <c r="Q42" s="64" t="str">
        <f>IF('Revenue Input'!$F38="","",IF('Cash Flow %s Yr3'!Q42="","",'Cash Flow %s Yr3'!Q42*'Revenue Input'!$F38))</f>
        <v/>
      </c>
      <c r="R42" s="64" t="str">
        <f>IF('Revenue Input'!$F38="","",IF('Cash Flow %s Yr3'!R42="","",'Cash Flow %s Yr3'!R42*'Revenue Input'!$F38))</f>
        <v/>
      </c>
      <c r="S42" s="111" t="str">
        <f>IF(SUM(D42:R42)&gt;0,SUM(D42:R42)/'Revenue Input'!$F38,"")</f>
        <v/>
      </c>
    </row>
    <row r="43" spans="1:19" s="31" customFormat="1" ht="18" x14ac:dyDescent="0.2">
      <c r="A43" s="47"/>
      <c r="B43" s="65" t="str">
        <f>'Revenue Input'!B39</f>
        <v>8982</v>
      </c>
      <c r="C43" s="65" t="str">
        <f>'Revenue Input'!C39</f>
        <v>Foundation Grants</v>
      </c>
      <c r="D43" s="64" t="str">
        <f>IF('Revenue Input'!$F39="","",IF('Cash Flow %s Yr3'!D43="","",'Cash Flow %s Yr3'!D43*'Revenue Input'!$F39))</f>
        <v/>
      </c>
      <c r="E43" s="64" t="str">
        <f>IF('Revenue Input'!$F39="","",IF('Cash Flow %s Yr3'!E43="","",'Cash Flow %s Yr3'!E43*'Revenue Input'!$F39))</f>
        <v/>
      </c>
      <c r="F43" s="64" t="str">
        <f>IF('Revenue Input'!$F39="","",IF('Cash Flow %s Yr3'!F43="","",'Cash Flow %s Yr3'!F43*'Revenue Input'!$F39))</f>
        <v/>
      </c>
      <c r="G43" s="64" t="str">
        <f>IF('Revenue Input'!$F39="","",IF('Cash Flow %s Yr3'!G43="","",'Cash Flow %s Yr3'!G43*'Revenue Input'!$F39))</f>
        <v/>
      </c>
      <c r="H43" s="64" t="str">
        <f>IF('Revenue Input'!$F39="","",IF('Cash Flow %s Yr3'!H43="","",'Cash Flow %s Yr3'!H43*'Revenue Input'!$F39))</f>
        <v/>
      </c>
      <c r="I43" s="64" t="str">
        <f>IF('Revenue Input'!$F39="","",IF('Cash Flow %s Yr3'!I43="","",'Cash Flow %s Yr3'!I43*'Revenue Input'!$F39))</f>
        <v/>
      </c>
      <c r="J43" s="64" t="str">
        <f>IF('Revenue Input'!$F39="","",IF('Cash Flow %s Yr3'!J43="","",'Cash Flow %s Yr3'!J43*'Revenue Input'!$F39))</f>
        <v/>
      </c>
      <c r="K43" s="64" t="str">
        <f>IF('Revenue Input'!$F39="","",IF('Cash Flow %s Yr3'!K43="","",'Cash Flow %s Yr3'!K43*'Revenue Input'!$F39))</f>
        <v/>
      </c>
      <c r="L43" s="64" t="str">
        <f>IF('Revenue Input'!$F39="","",IF('Cash Flow %s Yr3'!L43="","",'Cash Flow %s Yr3'!L43*'Revenue Input'!$F39))</f>
        <v/>
      </c>
      <c r="M43" s="64" t="str">
        <f>IF('Revenue Input'!$F39="","",IF('Cash Flow %s Yr3'!M43="","",'Cash Flow %s Yr3'!M43*'Revenue Input'!$F39))</f>
        <v/>
      </c>
      <c r="N43" s="64" t="str">
        <f>IF('Revenue Input'!$F39="","",IF('Cash Flow %s Yr3'!N43="","",'Cash Flow %s Yr3'!N43*'Revenue Input'!$F39))</f>
        <v/>
      </c>
      <c r="O43" s="64" t="str">
        <f>IF('Revenue Input'!$F39="","",IF('Cash Flow %s Yr3'!O43="","",'Cash Flow %s Yr3'!O43*'Revenue Input'!$F39))</f>
        <v/>
      </c>
      <c r="P43" s="64" t="str">
        <f>IF('Revenue Input'!$F39="","",IF('Cash Flow %s Yr3'!P43="","",'Cash Flow %s Yr3'!P43*'Revenue Input'!$F39))</f>
        <v/>
      </c>
      <c r="Q43" s="64" t="str">
        <f>IF('Revenue Input'!$F39="","",IF('Cash Flow %s Yr3'!Q43="","",'Cash Flow %s Yr3'!Q43*'Revenue Input'!$F39))</f>
        <v/>
      </c>
      <c r="R43" s="64" t="str">
        <f>IF('Revenue Input'!$F39="","",IF('Cash Flow %s Yr3'!R43="","",'Cash Flow %s Yr3'!R43*'Revenue Input'!$F39))</f>
        <v/>
      </c>
      <c r="S43" s="111" t="str">
        <f>IF(SUM(D43:R43)&gt;0,SUM(D43:R43)/'Revenue Input'!$F39,"")</f>
        <v/>
      </c>
    </row>
    <row r="44" spans="1:19" s="31" customFormat="1" ht="18" x14ac:dyDescent="0.2">
      <c r="A44" s="47"/>
      <c r="B44" s="65" t="str">
        <f>'Revenue Input'!B40</f>
        <v>8983</v>
      </c>
      <c r="C44" s="65" t="str">
        <f>'Revenue Input'!C40</f>
        <v>All Other Local Revenue</v>
      </c>
      <c r="D44" s="64" t="str">
        <f>IF('Revenue Input'!$F40="","",IF('Cash Flow %s Yr3'!D44="","",'Cash Flow %s Yr3'!D44*'Revenue Input'!$F40))</f>
        <v/>
      </c>
      <c r="E44" s="64" t="str">
        <f>IF('Revenue Input'!$F40="","",IF('Cash Flow %s Yr3'!E44="","",'Cash Flow %s Yr3'!E44*'Revenue Input'!$F40))</f>
        <v/>
      </c>
      <c r="F44" s="64" t="str">
        <f>IF('Revenue Input'!$F40="","",IF('Cash Flow %s Yr3'!F44="","",'Cash Flow %s Yr3'!F44*'Revenue Input'!$F40))</f>
        <v/>
      </c>
      <c r="G44" s="64" t="str">
        <f>IF('Revenue Input'!$F40="","",IF('Cash Flow %s Yr3'!G44="","",'Cash Flow %s Yr3'!G44*'Revenue Input'!$F40))</f>
        <v/>
      </c>
      <c r="H44" s="64" t="str">
        <f>IF('Revenue Input'!$F40="","",IF('Cash Flow %s Yr3'!H44="","",'Cash Flow %s Yr3'!H44*'Revenue Input'!$F40))</f>
        <v/>
      </c>
      <c r="I44" s="64" t="str">
        <f>IF('Revenue Input'!$F40="","",IF('Cash Flow %s Yr3'!I44="","",'Cash Flow %s Yr3'!I44*'Revenue Input'!$F40))</f>
        <v/>
      </c>
      <c r="J44" s="64" t="str">
        <f>IF('Revenue Input'!$F40="","",IF('Cash Flow %s Yr3'!J44="","",'Cash Flow %s Yr3'!J44*'Revenue Input'!$F40))</f>
        <v/>
      </c>
      <c r="K44" s="64" t="str">
        <f>IF('Revenue Input'!$F40="","",IF('Cash Flow %s Yr3'!K44="","",'Cash Flow %s Yr3'!K44*'Revenue Input'!$F40))</f>
        <v/>
      </c>
      <c r="L44" s="64" t="str">
        <f>IF('Revenue Input'!$F40="","",IF('Cash Flow %s Yr3'!L44="","",'Cash Flow %s Yr3'!L44*'Revenue Input'!$F40))</f>
        <v/>
      </c>
      <c r="M44" s="64" t="str">
        <f>IF('Revenue Input'!$F40="","",IF('Cash Flow %s Yr3'!M44="","",'Cash Flow %s Yr3'!M44*'Revenue Input'!$F40))</f>
        <v/>
      </c>
      <c r="N44" s="64" t="str">
        <f>IF('Revenue Input'!$F40="","",IF('Cash Flow %s Yr3'!N44="","",'Cash Flow %s Yr3'!N44*'Revenue Input'!$F40))</f>
        <v/>
      </c>
      <c r="O44" s="64" t="str">
        <f>IF('Revenue Input'!$F40="","",IF('Cash Flow %s Yr3'!O44="","",'Cash Flow %s Yr3'!O44*'Revenue Input'!$F40))</f>
        <v/>
      </c>
      <c r="P44" s="64" t="str">
        <f>IF('Revenue Input'!$F40="","",IF('Cash Flow %s Yr3'!P44="","",'Cash Flow %s Yr3'!P44*'Revenue Input'!$F40))</f>
        <v/>
      </c>
      <c r="Q44" s="64" t="str">
        <f>IF('Revenue Input'!$F40="","",IF('Cash Flow %s Yr3'!Q44="","",'Cash Flow %s Yr3'!Q44*'Revenue Input'!$F40))</f>
        <v/>
      </c>
      <c r="R44" s="64" t="str">
        <f>IF('Revenue Input'!$F40="","",IF('Cash Flow %s Yr3'!R44="","",'Cash Flow %s Yr3'!R44*'Revenue Input'!$F40))</f>
        <v/>
      </c>
      <c r="S44" s="111" t="str">
        <f>IF(SUM(D44:R44)&gt;0,SUM(D44:R44)/'Revenue Input'!$F40,"")</f>
        <v/>
      </c>
    </row>
    <row r="45" spans="1:19" s="31" customFormat="1" ht="18" x14ac:dyDescent="0.2">
      <c r="A45" s="47"/>
      <c r="B45" s="65" t="str">
        <f>'Revenue Input'!B41</f>
        <v>8984</v>
      </c>
      <c r="C45" s="65" t="str">
        <f>'Revenue Input'!C41</f>
        <v>Student Body (ASB) Fundraising Revenue</v>
      </c>
      <c r="D45" s="64" t="str">
        <f>IF('Revenue Input'!$F41="","",IF('Cash Flow %s Yr3'!D45="","",'Cash Flow %s Yr3'!D45*'Revenue Input'!$F41))</f>
        <v/>
      </c>
      <c r="E45" s="64" t="str">
        <f>IF('Revenue Input'!$F41="","",IF('Cash Flow %s Yr3'!E45="","",'Cash Flow %s Yr3'!E45*'Revenue Input'!$F41))</f>
        <v/>
      </c>
      <c r="F45" s="64" t="str">
        <f>IF('Revenue Input'!$F41="","",IF('Cash Flow %s Yr3'!F45="","",'Cash Flow %s Yr3'!F45*'Revenue Input'!$F41))</f>
        <v/>
      </c>
      <c r="G45" s="64" t="str">
        <f>IF('Revenue Input'!$F41="","",IF('Cash Flow %s Yr3'!G45="","",'Cash Flow %s Yr3'!G45*'Revenue Input'!$F41))</f>
        <v/>
      </c>
      <c r="H45" s="64" t="str">
        <f>IF('Revenue Input'!$F41="","",IF('Cash Flow %s Yr3'!H45="","",'Cash Flow %s Yr3'!H45*'Revenue Input'!$F41))</f>
        <v/>
      </c>
      <c r="I45" s="64" t="str">
        <f>IF('Revenue Input'!$F41="","",IF('Cash Flow %s Yr3'!I45="","",'Cash Flow %s Yr3'!I45*'Revenue Input'!$F41))</f>
        <v/>
      </c>
      <c r="J45" s="64" t="str">
        <f>IF('Revenue Input'!$F41="","",IF('Cash Flow %s Yr3'!J45="","",'Cash Flow %s Yr3'!J45*'Revenue Input'!$F41))</f>
        <v/>
      </c>
      <c r="K45" s="64" t="str">
        <f>IF('Revenue Input'!$F41="","",IF('Cash Flow %s Yr3'!K45="","",'Cash Flow %s Yr3'!K45*'Revenue Input'!$F41))</f>
        <v/>
      </c>
      <c r="L45" s="64" t="str">
        <f>IF('Revenue Input'!$F41="","",IF('Cash Flow %s Yr3'!L45="","",'Cash Flow %s Yr3'!L45*'Revenue Input'!$F41))</f>
        <v/>
      </c>
      <c r="M45" s="64" t="str">
        <f>IF('Revenue Input'!$F41="","",IF('Cash Flow %s Yr3'!M45="","",'Cash Flow %s Yr3'!M45*'Revenue Input'!$F41))</f>
        <v/>
      </c>
      <c r="N45" s="64" t="str">
        <f>IF('Revenue Input'!$F41="","",IF('Cash Flow %s Yr3'!N45="","",'Cash Flow %s Yr3'!N45*'Revenue Input'!$F41))</f>
        <v/>
      </c>
      <c r="O45" s="64" t="str">
        <f>IF('Revenue Input'!$F41="","",IF('Cash Flow %s Yr3'!O45="","",'Cash Flow %s Yr3'!O45*'Revenue Input'!$F41))</f>
        <v/>
      </c>
      <c r="P45" s="64" t="str">
        <f>IF('Revenue Input'!$F41="","",IF('Cash Flow %s Yr3'!P45="","",'Cash Flow %s Yr3'!P45*'Revenue Input'!$F41))</f>
        <v/>
      </c>
      <c r="Q45" s="64" t="str">
        <f>IF('Revenue Input'!$F41="","",IF('Cash Flow %s Yr3'!Q45="","",'Cash Flow %s Yr3'!Q45*'Revenue Input'!$F41))</f>
        <v/>
      </c>
      <c r="R45" s="64" t="str">
        <f>IF('Revenue Input'!$F41="","",IF('Cash Flow %s Yr3'!R45="","",'Cash Flow %s Yr3'!R45*'Revenue Input'!$F41))</f>
        <v/>
      </c>
      <c r="S45" s="111" t="str">
        <f>IF(SUM(D45:R45)&gt;0,SUM(D45:R45)/'Revenue Input'!$F41,"")</f>
        <v/>
      </c>
    </row>
    <row r="46" spans="1:19" s="31" customFormat="1" ht="18" x14ac:dyDescent="0.2">
      <c r="A46" s="47"/>
      <c r="B46" s="65" t="str">
        <f>'Revenue Input'!B42</f>
        <v>8985</v>
      </c>
      <c r="C46" s="65" t="str">
        <f>'Revenue Input'!C42</f>
        <v>School Site Fundraising</v>
      </c>
      <c r="D46" s="64">
        <f>IF('Revenue Input'!$F42="","",IF('Cash Flow %s Yr3'!D49="","",'Cash Flow %s Yr3'!D49*'Revenue Input'!$F42))</f>
        <v>0</v>
      </c>
      <c r="E46" s="64">
        <f>IF('Revenue Input'!$F42="","",IF('Cash Flow %s Yr3'!E49="","",'Cash Flow %s Yr3'!E49*'Revenue Input'!$F42))</f>
        <v>0</v>
      </c>
      <c r="F46" s="64">
        <f>IF('Revenue Input'!$F42="","",IF('Cash Flow %s Yr3'!F49="","",'Cash Flow %s Yr3'!F49*'Revenue Input'!$F42))</f>
        <v>5000</v>
      </c>
      <c r="G46" s="64">
        <f>IF('Revenue Input'!$F42="","",IF('Cash Flow %s Yr3'!G49="","",'Cash Flow %s Yr3'!G49*'Revenue Input'!$F42))</f>
        <v>5000</v>
      </c>
      <c r="H46" s="64">
        <f>IF('Revenue Input'!$F42="","",IF('Cash Flow %s Yr3'!H49="","",'Cash Flow %s Yr3'!H49*'Revenue Input'!$F42))</f>
        <v>5000</v>
      </c>
      <c r="I46" s="64">
        <f>IF('Revenue Input'!$F42="","",IF('Cash Flow %s Yr3'!I49="","",'Cash Flow %s Yr3'!I49*'Revenue Input'!$F42))</f>
        <v>5000</v>
      </c>
      <c r="J46" s="64">
        <f>IF('Revenue Input'!$F42="","",IF('Cash Flow %s Yr3'!J49="","",'Cash Flow %s Yr3'!J49*'Revenue Input'!$F42))</f>
        <v>5000</v>
      </c>
      <c r="K46" s="64">
        <f>IF('Revenue Input'!$F42="","",IF('Cash Flow %s Yr3'!K49="","",'Cash Flow %s Yr3'!K49*'Revenue Input'!$F42))</f>
        <v>5000</v>
      </c>
      <c r="L46" s="64">
        <f>IF('Revenue Input'!$F42="","",IF('Cash Flow %s Yr3'!L49="","",'Cash Flow %s Yr3'!L49*'Revenue Input'!$F42))</f>
        <v>5000</v>
      </c>
      <c r="M46" s="64">
        <f>IF('Revenue Input'!$F42="","",IF('Cash Flow %s Yr3'!M49="","",'Cash Flow %s Yr3'!M49*'Revenue Input'!$F42))</f>
        <v>5000</v>
      </c>
      <c r="N46" s="64">
        <f>IF('Revenue Input'!$F42="","",IF('Cash Flow %s Yr3'!N49="","",'Cash Flow %s Yr3'!N49*'Revenue Input'!$F42))</f>
        <v>5000</v>
      </c>
      <c r="O46" s="64">
        <f>IF('Revenue Input'!$F42="","",IF('Cash Flow %s Yr3'!O49="","",'Cash Flow %s Yr3'!O49*'Revenue Input'!$F42))</f>
        <v>5000</v>
      </c>
      <c r="P46" s="64">
        <f>IF('Revenue Input'!$F42="","",IF('Cash Flow %s Yr3'!P49="","",'Cash Flow %s Yr3'!P49*'Revenue Input'!$F42))</f>
        <v>0</v>
      </c>
      <c r="Q46" s="64">
        <f>IF('Revenue Input'!$F42="","",IF('Cash Flow %s Yr3'!Q49="","",'Cash Flow %s Yr3'!Q49*'Revenue Input'!$F42))</f>
        <v>0</v>
      </c>
      <c r="R46" s="64">
        <f>IF('Revenue Input'!$F42="","",IF('Cash Flow %s Yr3'!R49="","",'Cash Flow %s Yr3'!R49*'Revenue Input'!$F42))</f>
        <v>0</v>
      </c>
      <c r="S46" s="111">
        <f>IF(SUM(D46:R46)&gt;0,SUM(D46:R46)/'Revenue Input'!$F42,"")</f>
        <v>1</v>
      </c>
    </row>
    <row r="47" spans="1:19" s="31" customFormat="1" ht="18" x14ac:dyDescent="0.2">
      <c r="A47" s="47"/>
      <c r="B47" s="65" t="str">
        <f>'Revenue Input'!B43</f>
        <v>8986</v>
      </c>
      <c r="C47" s="65" t="str">
        <f>'Revenue Input'!C43</f>
        <v>Rental Income</v>
      </c>
      <c r="D47" s="64" t="str">
        <f>IF('Revenue Input'!$F43="","",IF('Cash Flow %s Yr3'!D50="","",'Cash Flow %s Yr3'!D50*'Revenue Input'!$F43))</f>
        <v/>
      </c>
      <c r="E47" s="64" t="str">
        <f>IF('Revenue Input'!$F43="","",IF('Cash Flow %s Yr3'!E50="","",'Cash Flow %s Yr3'!E50*'Revenue Input'!$F43))</f>
        <v/>
      </c>
      <c r="F47" s="64" t="str">
        <f>IF('Revenue Input'!$F43="","",IF('Cash Flow %s Yr3'!F50="","",'Cash Flow %s Yr3'!F50*'Revenue Input'!$F43))</f>
        <v/>
      </c>
      <c r="G47" s="64" t="str">
        <f>IF('Revenue Input'!$F43="","",IF('Cash Flow %s Yr3'!G50="","",'Cash Flow %s Yr3'!G50*'Revenue Input'!$F43))</f>
        <v/>
      </c>
      <c r="H47" s="64" t="str">
        <f>IF('Revenue Input'!$F43="","",IF('Cash Flow %s Yr3'!H50="","",'Cash Flow %s Yr3'!H50*'Revenue Input'!$F43))</f>
        <v/>
      </c>
      <c r="I47" s="64" t="str">
        <f>IF('Revenue Input'!$F43="","",IF('Cash Flow %s Yr3'!I50="","",'Cash Flow %s Yr3'!I50*'Revenue Input'!$F43))</f>
        <v/>
      </c>
      <c r="J47" s="64" t="str">
        <f>IF('Revenue Input'!$F43="","",IF('Cash Flow %s Yr3'!J50="","",'Cash Flow %s Yr3'!J50*'Revenue Input'!$F43))</f>
        <v/>
      </c>
      <c r="K47" s="64" t="str">
        <f>IF('Revenue Input'!$F43="","",IF('Cash Flow %s Yr3'!K50="","",'Cash Flow %s Yr3'!K50*'Revenue Input'!$F43))</f>
        <v/>
      </c>
      <c r="L47" s="64" t="str">
        <f>IF('Revenue Input'!$F43="","",IF('Cash Flow %s Yr3'!L50="","",'Cash Flow %s Yr3'!L50*'Revenue Input'!$F43))</f>
        <v/>
      </c>
      <c r="M47" s="64" t="str">
        <f>IF('Revenue Input'!$F43="","",IF('Cash Flow %s Yr3'!M50="","",'Cash Flow %s Yr3'!M50*'Revenue Input'!$F43))</f>
        <v/>
      </c>
      <c r="N47" s="64" t="str">
        <f>IF('Revenue Input'!$F43="","",IF('Cash Flow %s Yr3'!N50="","",'Cash Flow %s Yr3'!N50*'Revenue Input'!$F43))</f>
        <v/>
      </c>
      <c r="O47" s="64" t="str">
        <f>IF('Revenue Input'!$F43="","",IF('Cash Flow %s Yr3'!O50="","",'Cash Flow %s Yr3'!O50*'Revenue Input'!$F43))</f>
        <v/>
      </c>
      <c r="P47" s="64" t="str">
        <f>IF('Revenue Input'!$F43="","",IF('Cash Flow %s Yr3'!P50="","",'Cash Flow %s Yr3'!P50*'Revenue Input'!$F43))</f>
        <v/>
      </c>
      <c r="Q47" s="64" t="str">
        <f>IF('Revenue Input'!$F43="","",IF('Cash Flow %s Yr3'!Q50="","",'Cash Flow %s Yr3'!Q50*'Revenue Input'!$F43))</f>
        <v/>
      </c>
      <c r="R47" s="64" t="str">
        <f>IF('Revenue Input'!$F43="","",IF('Cash Flow %s Yr3'!R50="","",'Cash Flow %s Yr3'!R50*'Revenue Input'!$F43))</f>
        <v/>
      </c>
      <c r="S47" s="111" t="str">
        <f>IF(SUM(D47:R47)&gt;0,SUM(D47:R47)/'Revenue Input'!$F43,"")</f>
        <v/>
      </c>
    </row>
    <row r="48" spans="1:19" s="31" customFormat="1" ht="18" x14ac:dyDescent="0.2">
      <c r="A48" s="47"/>
      <c r="B48" s="65" t="str">
        <f>'Revenue Input'!B44</f>
        <v>8989</v>
      </c>
      <c r="C48" s="65" t="str">
        <f>'Revenue Input'!C44</f>
        <v>Fees for Service</v>
      </c>
      <c r="D48" s="64" t="str">
        <f>IF('Revenue Input'!$F44="","",IF('Cash Flow %s Yr3'!D51="","",'Cash Flow %s Yr3'!D51*'Revenue Input'!$F44))</f>
        <v/>
      </c>
      <c r="E48" s="64" t="str">
        <f>IF('Revenue Input'!$F44="","",IF('Cash Flow %s Yr3'!E51="","",'Cash Flow %s Yr3'!E51*'Revenue Input'!$F44))</f>
        <v/>
      </c>
      <c r="F48" s="64" t="str">
        <f>IF('Revenue Input'!$F44="","",IF('Cash Flow %s Yr3'!F51="","",'Cash Flow %s Yr3'!F51*'Revenue Input'!$F44))</f>
        <v/>
      </c>
      <c r="G48" s="64" t="str">
        <f>IF('Revenue Input'!$F44="","",IF('Cash Flow %s Yr3'!G51="","",'Cash Flow %s Yr3'!G51*'Revenue Input'!$F44))</f>
        <v/>
      </c>
      <c r="H48" s="64" t="str">
        <f>IF('Revenue Input'!$F44="","",IF('Cash Flow %s Yr3'!H51="","",'Cash Flow %s Yr3'!H51*'Revenue Input'!$F44))</f>
        <v/>
      </c>
      <c r="I48" s="64" t="str">
        <f>IF('Revenue Input'!$F44="","",IF('Cash Flow %s Yr3'!I51="","",'Cash Flow %s Yr3'!I51*'Revenue Input'!$F44))</f>
        <v/>
      </c>
      <c r="J48" s="64" t="str">
        <f>IF('Revenue Input'!$F44="","",IF('Cash Flow %s Yr3'!J51="","",'Cash Flow %s Yr3'!J51*'Revenue Input'!$F44))</f>
        <v/>
      </c>
      <c r="K48" s="64" t="str">
        <f>IF('Revenue Input'!$F44="","",IF('Cash Flow %s Yr3'!K51="","",'Cash Flow %s Yr3'!K51*'Revenue Input'!$F44))</f>
        <v/>
      </c>
      <c r="L48" s="64" t="str">
        <f>IF('Revenue Input'!$F44="","",IF('Cash Flow %s Yr3'!L51="","",'Cash Flow %s Yr3'!L51*'Revenue Input'!$F44))</f>
        <v/>
      </c>
      <c r="M48" s="64" t="str">
        <f>IF('Revenue Input'!$F44="","",IF('Cash Flow %s Yr3'!M51="","",'Cash Flow %s Yr3'!M51*'Revenue Input'!$F44))</f>
        <v/>
      </c>
      <c r="N48" s="64" t="str">
        <f>IF('Revenue Input'!$F44="","",IF('Cash Flow %s Yr3'!N51="","",'Cash Flow %s Yr3'!N51*'Revenue Input'!$F44))</f>
        <v/>
      </c>
      <c r="O48" s="64" t="str">
        <f>IF('Revenue Input'!$F44="","",IF('Cash Flow %s Yr3'!O51="","",'Cash Flow %s Yr3'!O51*'Revenue Input'!$F44))</f>
        <v/>
      </c>
      <c r="P48" s="64" t="str">
        <f>IF('Revenue Input'!$F44="","",IF('Cash Flow %s Yr3'!P51="","",'Cash Flow %s Yr3'!P51*'Revenue Input'!$F44))</f>
        <v/>
      </c>
      <c r="Q48" s="64" t="str">
        <f>IF('Revenue Input'!$F44="","",IF('Cash Flow %s Yr3'!Q51="","",'Cash Flow %s Yr3'!Q51*'Revenue Input'!$F44))</f>
        <v/>
      </c>
      <c r="R48" s="64" t="str">
        <f>IF('Revenue Input'!$F44="","",IF('Cash Flow %s Yr3'!R51="","",'Cash Flow %s Yr3'!R51*'Revenue Input'!$F44))</f>
        <v/>
      </c>
      <c r="S48" s="111" t="str">
        <f>IF(SUM(D48:R48)&gt;0,SUM(D48:R48)/'Revenue Input'!$F44,"")</f>
        <v/>
      </c>
    </row>
    <row r="49" spans="1:19" s="31" customFormat="1" ht="18" x14ac:dyDescent="0.2">
      <c r="A49" s="47"/>
      <c r="B49" s="65" t="str">
        <f>'Revenue Input'!B45</f>
        <v>8999</v>
      </c>
      <c r="C49" s="65" t="str">
        <f>'Revenue Input'!C45</f>
        <v>Revenue Suspense</v>
      </c>
      <c r="D49" s="64" t="str">
        <f>IF('Revenue Input'!$F45="","",IF('Cash Flow %s Yr3'!D52="","",'Cash Flow %s Yr3'!D52*'Revenue Input'!$F45))</f>
        <v/>
      </c>
      <c r="E49" s="64" t="str">
        <f>IF('Revenue Input'!$F45="","",IF('Cash Flow %s Yr3'!E52="","",'Cash Flow %s Yr3'!E52*'Revenue Input'!$F45))</f>
        <v/>
      </c>
      <c r="F49" s="64" t="str">
        <f>IF('Revenue Input'!$F45="","",IF('Cash Flow %s Yr3'!F52="","",'Cash Flow %s Yr3'!F52*'Revenue Input'!$F45))</f>
        <v/>
      </c>
      <c r="G49" s="64" t="str">
        <f>IF('Revenue Input'!$F45="","",IF('Cash Flow %s Yr3'!G52="","",'Cash Flow %s Yr3'!G52*'Revenue Input'!$F45))</f>
        <v/>
      </c>
      <c r="H49" s="64" t="str">
        <f>IF('Revenue Input'!$F45="","",IF('Cash Flow %s Yr3'!H52="","",'Cash Flow %s Yr3'!H52*'Revenue Input'!$F45))</f>
        <v/>
      </c>
      <c r="I49" s="64" t="str">
        <f>IF('Revenue Input'!$F45="","",IF('Cash Flow %s Yr3'!I52="","",'Cash Flow %s Yr3'!I52*'Revenue Input'!$F45))</f>
        <v/>
      </c>
      <c r="J49" s="64" t="str">
        <f>IF('Revenue Input'!$F45="","",IF('Cash Flow %s Yr3'!J52="","",'Cash Flow %s Yr3'!J52*'Revenue Input'!$F45))</f>
        <v/>
      </c>
      <c r="K49" s="64" t="str">
        <f>IF('Revenue Input'!$F45="","",IF('Cash Flow %s Yr3'!K52="","",'Cash Flow %s Yr3'!K52*'Revenue Input'!$F45))</f>
        <v/>
      </c>
      <c r="L49" s="64" t="str">
        <f>IF('Revenue Input'!$F45="","",IF('Cash Flow %s Yr3'!L52="","",'Cash Flow %s Yr3'!L52*'Revenue Input'!$F45))</f>
        <v/>
      </c>
      <c r="M49" s="64" t="str">
        <f>IF('Revenue Input'!$F45="","",IF('Cash Flow %s Yr3'!M52="","",'Cash Flow %s Yr3'!M52*'Revenue Input'!$F45))</f>
        <v/>
      </c>
      <c r="N49" s="64" t="str">
        <f>IF('Revenue Input'!$F45="","",IF('Cash Flow %s Yr3'!N52="","",'Cash Flow %s Yr3'!N52*'Revenue Input'!$F45))</f>
        <v/>
      </c>
      <c r="O49" s="64" t="str">
        <f>IF('Revenue Input'!$F45="","",IF('Cash Flow %s Yr3'!O52="","",'Cash Flow %s Yr3'!O52*'Revenue Input'!$F45))</f>
        <v/>
      </c>
      <c r="P49" s="64" t="str">
        <f>IF('Revenue Input'!$F45="","",IF('Cash Flow %s Yr3'!P52="","",'Cash Flow %s Yr3'!P52*'Revenue Input'!$F45))</f>
        <v/>
      </c>
      <c r="Q49" s="64" t="str">
        <f>IF('Revenue Input'!$F45="","",IF('Cash Flow %s Yr3'!Q52="","",'Cash Flow %s Yr3'!Q52*'Revenue Input'!$F45))</f>
        <v/>
      </c>
      <c r="R49" s="64" t="str">
        <f>IF('Revenue Input'!$F45="","",IF('Cash Flow %s Yr3'!R52="","",'Cash Flow %s Yr3'!R52*'Revenue Input'!$F45))</f>
        <v/>
      </c>
      <c r="S49" s="111" t="str">
        <f>IF(SUM(D49:R49)&gt;0,SUM(D49:R49)/'Revenue Input'!$F45,"")</f>
        <v/>
      </c>
    </row>
    <row r="50" spans="1:19" s="31" customFormat="1" ht="18" x14ac:dyDescent="0.2">
      <c r="A50" s="47"/>
      <c r="B50" s="72"/>
      <c r="C50" s="34" t="s">
        <v>721</v>
      </c>
      <c r="D50" s="192">
        <f t="shared" ref="D50:R50" si="2">SUM(D37:D49)</f>
        <v>83</v>
      </c>
      <c r="E50" s="192">
        <f t="shared" si="2"/>
        <v>83</v>
      </c>
      <c r="F50" s="192">
        <f t="shared" si="2"/>
        <v>5083</v>
      </c>
      <c r="G50" s="192">
        <f t="shared" si="2"/>
        <v>5083</v>
      </c>
      <c r="H50" s="192">
        <f t="shared" si="2"/>
        <v>5083</v>
      </c>
      <c r="I50" s="192">
        <f t="shared" si="2"/>
        <v>5083</v>
      </c>
      <c r="J50" s="192">
        <f t="shared" si="2"/>
        <v>5083</v>
      </c>
      <c r="K50" s="192">
        <f t="shared" si="2"/>
        <v>5083</v>
      </c>
      <c r="L50" s="192">
        <f t="shared" si="2"/>
        <v>5084</v>
      </c>
      <c r="M50" s="192">
        <f t="shared" si="2"/>
        <v>5084</v>
      </c>
      <c r="N50" s="192">
        <f t="shared" si="2"/>
        <v>5084</v>
      </c>
      <c r="O50" s="192">
        <f t="shared" si="2"/>
        <v>5084</v>
      </c>
      <c r="P50" s="192">
        <f t="shared" si="2"/>
        <v>0</v>
      </c>
      <c r="Q50" s="192">
        <f t="shared" si="2"/>
        <v>0</v>
      </c>
      <c r="R50" s="192">
        <f t="shared" si="2"/>
        <v>0</v>
      </c>
      <c r="S50" s="107"/>
    </row>
    <row r="51" spans="1:19" s="31" customFormat="1" ht="18" x14ac:dyDescent="0.2">
      <c r="A51" s="47"/>
      <c r="B51" s="49" t="s">
        <v>677</v>
      </c>
      <c r="C51" s="50"/>
      <c r="D51" s="193">
        <f t="shared" ref="D51:R51" si="3">SUM(D50,D34,D23)</f>
        <v>84360.019637712801</v>
      </c>
      <c r="E51" s="193">
        <f t="shared" si="3"/>
        <v>126179.67601300514</v>
      </c>
      <c r="F51" s="193">
        <f t="shared" si="3"/>
        <v>58817.410410157994</v>
      </c>
      <c r="G51" s="193">
        <f t="shared" si="3"/>
        <v>114501.82562628438</v>
      </c>
      <c r="H51" s="193">
        <f t="shared" si="3"/>
        <v>89955.310363784389</v>
      </c>
      <c r="I51" s="193">
        <f t="shared" si="3"/>
        <v>86760.703810684383</v>
      </c>
      <c r="J51" s="193">
        <f t="shared" si="3"/>
        <v>114501.82562628438</v>
      </c>
      <c r="K51" s="193">
        <f t="shared" si="3"/>
        <v>115489.56609378438</v>
      </c>
      <c r="L51" s="193">
        <f t="shared" si="3"/>
        <v>76988.319842384386</v>
      </c>
      <c r="M51" s="193">
        <f t="shared" si="3"/>
        <v>116150.80842128438</v>
      </c>
      <c r="N51" s="193">
        <f t="shared" si="3"/>
        <v>86543.985658784382</v>
      </c>
      <c r="O51" s="193">
        <f t="shared" si="3"/>
        <v>76554.735921284388</v>
      </c>
      <c r="P51" s="193">
        <f t="shared" si="3"/>
        <v>87180.535486284381</v>
      </c>
      <c r="Q51" s="193">
        <f t="shared" si="3"/>
        <v>20193.473466780983</v>
      </c>
      <c r="R51" s="193">
        <f t="shared" si="3"/>
        <v>0</v>
      </c>
      <c r="S51" s="107"/>
    </row>
    <row r="52" spans="1:19" s="31" customFormat="1" ht="18" x14ac:dyDescent="0.2">
      <c r="A52" s="47"/>
      <c r="B52" s="72"/>
      <c r="C52" s="50"/>
      <c r="D52" s="127"/>
      <c r="E52" s="127"/>
      <c r="F52" s="127"/>
      <c r="G52" s="127"/>
      <c r="H52" s="127"/>
      <c r="I52" s="127"/>
      <c r="J52" s="127"/>
      <c r="K52" s="127"/>
      <c r="L52" s="127"/>
      <c r="M52" s="127"/>
      <c r="N52" s="127"/>
      <c r="O52" s="127"/>
      <c r="P52" s="127"/>
      <c r="Q52" s="127"/>
      <c r="R52" s="127"/>
    </row>
    <row r="53" spans="1:19" s="31" customFormat="1" ht="18" x14ac:dyDescent="0.2">
      <c r="A53" s="47" t="s">
        <v>802</v>
      </c>
      <c r="B53" s="73"/>
      <c r="C53" s="34"/>
      <c r="D53" s="128"/>
      <c r="E53" s="128"/>
      <c r="F53" s="128"/>
      <c r="G53" s="128"/>
      <c r="H53" s="128"/>
      <c r="I53" s="128"/>
      <c r="J53" s="128"/>
      <c r="K53" s="128"/>
      <c r="L53" s="128"/>
      <c r="M53" s="128"/>
      <c r="N53" s="128"/>
      <c r="O53" s="128"/>
      <c r="P53" s="128"/>
      <c r="Q53" s="128"/>
      <c r="R53" s="128"/>
    </row>
    <row r="54" spans="1:19" x14ac:dyDescent="0.2">
      <c r="A54" s="1"/>
      <c r="B54" s="34" t="s">
        <v>733</v>
      </c>
      <c r="C54" s="3"/>
      <c r="D54" s="107"/>
      <c r="E54" s="107"/>
      <c r="F54" s="107"/>
      <c r="G54" s="107"/>
      <c r="H54" s="107"/>
      <c r="I54" s="107"/>
      <c r="J54" s="107"/>
      <c r="K54" s="107"/>
      <c r="L54" s="107"/>
      <c r="M54" s="107"/>
      <c r="N54" s="107"/>
      <c r="O54" s="107"/>
      <c r="P54" s="107"/>
      <c r="Q54" s="107"/>
      <c r="R54" s="107"/>
    </row>
    <row r="55" spans="1:19" x14ac:dyDescent="0.2">
      <c r="A55" s="36"/>
      <c r="B55" s="67" t="str">
        <f>'Expenses Summary'!B8</f>
        <v>1100</v>
      </c>
      <c r="C55" s="67" t="str">
        <f>'Expenses Summary'!C8</f>
        <v>Teachers'  Salaries</v>
      </c>
      <c r="D55" s="64">
        <f>IF('Expenses Summary'!$F8="","",IF('Cash Flow %s Yr3'!D55="","",'Cash Flow %s Yr3'!D55*'Expenses Summary'!$F8))</f>
        <v>20235.995940000004</v>
      </c>
      <c r="E55" s="64">
        <f>IF('Expenses Summary'!$F8="","",IF('Cash Flow %s Yr3'!E55="","",'Cash Flow %s Yr3'!E55*'Expenses Summary'!$F8))</f>
        <v>20235.995940000004</v>
      </c>
      <c r="F55" s="64">
        <f>IF('Expenses Summary'!$F8="","",IF('Cash Flow %s Yr3'!F55="","",'Cash Flow %s Yr3'!F55*'Expenses Summary'!$F8))</f>
        <v>20235.995940000004</v>
      </c>
      <c r="G55" s="64">
        <f>IF('Expenses Summary'!$F8="","",IF('Cash Flow %s Yr3'!G55="","",'Cash Flow %s Yr3'!G55*'Expenses Summary'!$F8))</f>
        <v>20235.995940000004</v>
      </c>
      <c r="H55" s="64">
        <f>IF('Expenses Summary'!$F8="","",IF('Cash Flow %s Yr3'!H55="","",'Cash Flow %s Yr3'!H55*'Expenses Summary'!$F8))</f>
        <v>20235.995940000004</v>
      </c>
      <c r="I55" s="64">
        <f>IF('Expenses Summary'!$F8="","",IF('Cash Flow %s Yr3'!I55="","",'Cash Flow %s Yr3'!I55*'Expenses Summary'!$F8))</f>
        <v>20235.995940000004</v>
      </c>
      <c r="J55" s="64">
        <f>IF('Expenses Summary'!$F8="","",IF('Cash Flow %s Yr3'!J55="","",'Cash Flow %s Yr3'!J55*'Expenses Summary'!$F8))</f>
        <v>20235.995940000004</v>
      </c>
      <c r="K55" s="64">
        <f>IF('Expenses Summary'!$F8="","",IF('Cash Flow %s Yr3'!K55="","",'Cash Flow %s Yr3'!K55*'Expenses Summary'!$F8))</f>
        <v>20235.995940000004</v>
      </c>
      <c r="L55" s="64">
        <f>IF('Expenses Summary'!$F8="","",IF('Cash Flow %s Yr3'!L55="","",'Cash Flow %s Yr3'!L55*'Expenses Summary'!$F8))</f>
        <v>20479.803120000004</v>
      </c>
      <c r="M55" s="64">
        <f>IF('Expenses Summary'!$F8="","",IF('Cash Flow %s Yr3'!M55="","",'Cash Flow %s Yr3'!M55*'Expenses Summary'!$F8))</f>
        <v>20479.803120000004</v>
      </c>
      <c r="N55" s="64">
        <f>IF('Expenses Summary'!$F8="","",IF('Cash Flow %s Yr3'!N55="","",'Cash Flow %s Yr3'!N55*'Expenses Summary'!$F8))</f>
        <v>20479.803120000004</v>
      </c>
      <c r="O55" s="64">
        <f>IF('Expenses Summary'!$F8="","",IF('Cash Flow %s Yr3'!O55="","",'Cash Flow %s Yr3'!O55*'Expenses Summary'!$F8))</f>
        <v>20479.803120000004</v>
      </c>
      <c r="P55" s="129"/>
      <c r="Q55" s="129"/>
      <c r="R55" s="129"/>
      <c r="S55" s="111">
        <f>IF(SUM(D55:R55)&gt;0,SUM(D55:R55)/'Expenses Summary'!$F8,"")</f>
        <v>1</v>
      </c>
    </row>
    <row r="56" spans="1:19" x14ac:dyDescent="0.2">
      <c r="A56" s="36"/>
      <c r="B56" s="67" t="str">
        <f>'Expenses Summary'!B9</f>
        <v>1105</v>
      </c>
      <c r="C56" s="67" t="str">
        <f>'Expenses Summary'!C9</f>
        <v>Teachers'  Bonuses</v>
      </c>
      <c r="D56" s="64">
        <f>IF('Expenses Summary'!$F9="","",IF('Cash Flow %s Yr3'!D56="","",'Cash Flow %s Yr3'!D56*'Expenses Summary'!$F9))</f>
        <v>0</v>
      </c>
      <c r="E56" s="64">
        <f>IF('Expenses Summary'!$F9="","",IF('Cash Flow %s Yr3'!E56="","",'Cash Flow %s Yr3'!E56*'Expenses Summary'!$F9))</f>
        <v>0</v>
      </c>
      <c r="F56" s="64">
        <f>IF('Expenses Summary'!$F9="","",IF('Cash Flow %s Yr3'!F56="","",'Cash Flow %s Yr3'!F56*'Expenses Summary'!$F9))</f>
        <v>0</v>
      </c>
      <c r="G56" s="64">
        <f>IF('Expenses Summary'!$F9="","",IF('Cash Flow %s Yr3'!G56="","",'Cash Flow %s Yr3'!G56*'Expenses Summary'!$F9))</f>
        <v>0</v>
      </c>
      <c r="H56" s="64">
        <f>IF('Expenses Summary'!$F9="","",IF('Cash Flow %s Yr3'!H56="","",'Cash Flow %s Yr3'!H56*'Expenses Summary'!$F9))</f>
        <v>0</v>
      </c>
      <c r="I56" s="64">
        <f>IF('Expenses Summary'!$F9="","",IF('Cash Flow %s Yr3'!I56="","",'Cash Flow %s Yr3'!I56*'Expenses Summary'!$F9))</f>
        <v>1500</v>
      </c>
      <c r="J56" s="64">
        <f>IF('Expenses Summary'!$F9="","",IF('Cash Flow %s Yr3'!J56="","",'Cash Flow %s Yr3'!J56*'Expenses Summary'!$F9))</f>
        <v>0</v>
      </c>
      <c r="K56" s="64">
        <f>IF('Expenses Summary'!$F9="","",IF('Cash Flow %s Yr3'!K56="","",'Cash Flow %s Yr3'!K56*'Expenses Summary'!$F9))</f>
        <v>0</v>
      </c>
      <c r="L56" s="64">
        <f>IF('Expenses Summary'!$F9="","",IF('Cash Flow %s Yr3'!L56="","",'Cash Flow %s Yr3'!L56*'Expenses Summary'!$F9))</f>
        <v>0</v>
      </c>
      <c r="M56" s="64">
        <f>IF('Expenses Summary'!$F9="","",IF('Cash Flow %s Yr3'!M56="","",'Cash Flow %s Yr3'!M56*'Expenses Summary'!$F9))</f>
        <v>0</v>
      </c>
      <c r="N56" s="64">
        <f>IF('Expenses Summary'!$F9="","",IF('Cash Flow %s Yr3'!N56="","",'Cash Flow %s Yr3'!N56*'Expenses Summary'!$F9))</f>
        <v>0</v>
      </c>
      <c r="O56" s="64">
        <f>IF('Expenses Summary'!$F9="","",IF('Cash Flow %s Yr3'!O56="","",'Cash Flow %s Yr3'!O56*'Expenses Summary'!$F9))</f>
        <v>0</v>
      </c>
      <c r="P56" s="129"/>
      <c r="Q56" s="129"/>
      <c r="R56" s="129"/>
      <c r="S56" s="111">
        <f>IF(SUM(D56:R56)&gt;0,SUM(D56:R56)/'Expenses Summary'!$F9,"")</f>
        <v>1</v>
      </c>
    </row>
    <row r="57" spans="1:19" x14ac:dyDescent="0.2">
      <c r="A57" s="36"/>
      <c r="B57" s="67" t="str">
        <f>'Expenses Summary'!B10</f>
        <v>1120</v>
      </c>
      <c r="C57" s="67" t="str">
        <f>'Expenses Summary'!C10</f>
        <v>Substitute Expense</v>
      </c>
      <c r="D57" s="64">
        <f>IF('Expenses Summary'!$F10="","",IF('Cash Flow %s Yr3'!D57="","",'Cash Flow %s Yr3'!D57*'Expenses Summary'!$F10))</f>
        <v>0</v>
      </c>
      <c r="E57" s="64">
        <f>IF('Expenses Summary'!$F10="","",IF('Cash Flow %s Yr3'!E57="","",'Cash Flow %s Yr3'!E57*'Expenses Summary'!$F10))</f>
        <v>0</v>
      </c>
      <c r="F57" s="64">
        <f>IF('Expenses Summary'!$F10="","",IF('Cash Flow %s Yr3'!F57="","",'Cash Flow %s Yr3'!F57*'Expenses Summary'!$F10))</f>
        <v>164.8</v>
      </c>
      <c r="G57" s="64">
        <f>IF('Expenses Summary'!$F10="","",IF('Cash Flow %s Yr3'!G57="","",'Cash Flow %s Yr3'!G57*'Expenses Summary'!$F10))</f>
        <v>164.8</v>
      </c>
      <c r="H57" s="64">
        <f>IF('Expenses Summary'!$F10="","",IF('Cash Flow %s Yr3'!H57="","",'Cash Flow %s Yr3'!H57*'Expenses Summary'!$F10))</f>
        <v>164.8</v>
      </c>
      <c r="I57" s="64">
        <f>IF('Expenses Summary'!$F10="","",IF('Cash Flow %s Yr3'!I57="","",'Cash Flow %s Yr3'!I57*'Expenses Summary'!$F10))</f>
        <v>164.8</v>
      </c>
      <c r="J57" s="64">
        <f>IF('Expenses Summary'!$F10="","",IF('Cash Flow %s Yr3'!J57="","",'Cash Flow %s Yr3'!J57*'Expenses Summary'!$F10))</f>
        <v>164.8</v>
      </c>
      <c r="K57" s="64">
        <f>IF('Expenses Summary'!$F10="","",IF('Cash Flow %s Yr3'!K57="","",'Cash Flow %s Yr3'!K57*'Expenses Summary'!$F10))</f>
        <v>164.8</v>
      </c>
      <c r="L57" s="64">
        <f>IF('Expenses Summary'!$F10="","",IF('Cash Flow %s Yr3'!L57="","",'Cash Flow %s Yr3'!L57*'Expenses Summary'!$F10))</f>
        <v>164.8</v>
      </c>
      <c r="M57" s="64">
        <f>IF('Expenses Summary'!$F10="","",IF('Cash Flow %s Yr3'!M57="","",'Cash Flow %s Yr3'!M57*'Expenses Summary'!$F10))</f>
        <v>164.8</v>
      </c>
      <c r="N57" s="64">
        <f>IF('Expenses Summary'!$F10="","",IF('Cash Flow %s Yr3'!N57="","",'Cash Flow %s Yr3'!N57*'Expenses Summary'!$F10))</f>
        <v>164.8</v>
      </c>
      <c r="O57" s="64">
        <f>IF('Expenses Summary'!$F10="","",IF('Cash Flow %s Yr3'!O57="","",'Cash Flow %s Yr3'!O57*'Expenses Summary'!$F10))</f>
        <v>164.8</v>
      </c>
      <c r="P57" s="129"/>
      <c r="Q57" s="129"/>
      <c r="R57" s="129"/>
      <c r="S57" s="111">
        <f>IF(SUM(D57:R57)&gt;0,SUM(D57:R57)/'Expenses Summary'!$F10,"")</f>
        <v>0.99999999999999989</v>
      </c>
    </row>
    <row r="58" spans="1:19" x14ac:dyDescent="0.2">
      <c r="A58" s="36"/>
      <c r="B58" s="67" t="str">
        <f>'Expenses Summary'!B11</f>
        <v>1200</v>
      </c>
      <c r="C58" s="67" t="str">
        <f>'Expenses Summary'!C11</f>
        <v>Certificated Pupil Support Salaries</v>
      </c>
      <c r="D58" s="64">
        <f>IF('Expenses Summary'!$F11="","",IF('Cash Flow %s Yr3'!D58="","",'Cash Flow %s Yr3'!D58*'Expenses Summary'!$F11))</f>
        <v>0</v>
      </c>
      <c r="E58" s="64">
        <f>IF('Expenses Summary'!$F11="","",IF('Cash Flow %s Yr3'!E58="","",'Cash Flow %s Yr3'!E58*'Expenses Summary'!$F11))</f>
        <v>0</v>
      </c>
      <c r="F58" s="64">
        <f>IF('Expenses Summary'!$F11="","",IF('Cash Flow %s Yr3'!F58="","",'Cash Flow %s Yr3'!F58*'Expenses Summary'!$F11))</f>
        <v>0</v>
      </c>
      <c r="G58" s="64">
        <f>IF('Expenses Summary'!$F11="","",IF('Cash Flow %s Yr3'!G58="","",'Cash Flow %s Yr3'!G58*'Expenses Summary'!$F11))</f>
        <v>0</v>
      </c>
      <c r="H58" s="64">
        <f>IF('Expenses Summary'!$F11="","",IF('Cash Flow %s Yr3'!H58="","",'Cash Flow %s Yr3'!H58*'Expenses Summary'!$F11))</f>
        <v>0</v>
      </c>
      <c r="I58" s="64">
        <f>IF('Expenses Summary'!$F11="","",IF('Cash Flow %s Yr3'!I58="","",'Cash Flow %s Yr3'!I58*'Expenses Summary'!$F11))</f>
        <v>0</v>
      </c>
      <c r="J58" s="64">
        <f>IF('Expenses Summary'!$F11="","",IF('Cash Flow %s Yr3'!J58="","",'Cash Flow %s Yr3'!J58*'Expenses Summary'!$F11))</f>
        <v>0</v>
      </c>
      <c r="K58" s="64">
        <f>IF('Expenses Summary'!$F11="","",IF('Cash Flow %s Yr3'!K58="","",'Cash Flow %s Yr3'!K58*'Expenses Summary'!$F11))</f>
        <v>0</v>
      </c>
      <c r="L58" s="64">
        <f>IF('Expenses Summary'!$F11="","",IF('Cash Flow %s Yr3'!L58="","",'Cash Flow %s Yr3'!L58*'Expenses Summary'!$F11))</f>
        <v>0</v>
      </c>
      <c r="M58" s="64">
        <f>IF('Expenses Summary'!$F11="","",IF('Cash Flow %s Yr3'!M58="","",'Cash Flow %s Yr3'!M58*'Expenses Summary'!$F11))</f>
        <v>0</v>
      </c>
      <c r="N58" s="64">
        <f>IF('Expenses Summary'!$F11="","",IF('Cash Flow %s Yr3'!N58="","",'Cash Flow %s Yr3'!N58*'Expenses Summary'!$F11))</f>
        <v>0</v>
      </c>
      <c r="O58" s="64">
        <f>IF('Expenses Summary'!$F11="","",IF('Cash Flow %s Yr3'!O58="","",'Cash Flow %s Yr3'!O58*'Expenses Summary'!$F11))</f>
        <v>0</v>
      </c>
      <c r="P58" s="129"/>
      <c r="Q58" s="129"/>
      <c r="R58" s="129"/>
      <c r="S58" s="111" t="str">
        <f>IF(SUM(D58:R58)&gt;0,SUM(D58:R58)/'Expenses Summary'!$F11,"")</f>
        <v/>
      </c>
    </row>
    <row r="59" spans="1:19" x14ac:dyDescent="0.2">
      <c r="A59" s="36"/>
      <c r="B59" s="67" t="str">
        <f>'Expenses Summary'!B13</f>
        <v>1300</v>
      </c>
      <c r="C59" s="67" t="str">
        <f>'Expenses Summary'!C13</f>
        <v>Certificated Supervisor and Administrator Salaries</v>
      </c>
      <c r="D59" s="64">
        <f>IF('Expenses Summary'!$F13="","",IF('Cash Flow %s Yr3'!D59="","",'Cash Flow %s Yr3'!D59*'Expenses Summary'!$F13))</f>
        <v>5556.85</v>
      </c>
      <c r="E59" s="64">
        <f>IF('Expenses Summary'!$F13="","",IF('Cash Flow %s Yr3'!E59="","",'Cash Flow %s Yr3'!E59*'Expenses Summary'!$F13))</f>
        <v>5556.85</v>
      </c>
      <c r="F59" s="64">
        <f>IF('Expenses Summary'!$F13="","",IF('Cash Flow %s Yr3'!F59="","",'Cash Flow %s Yr3'!F59*'Expenses Summary'!$F13))</f>
        <v>5556.85</v>
      </c>
      <c r="G59" s="64">
        <f>IF('Expenses Summary'!$F13="","",IF('Cash Flow %s Yr3'!G59="","",'Cash Flow %s Yr3'!G59*'Expenses Summary'!$F13))</f>
        <v>5556.85</v>
      </c>
      <c r="H59" s="64">
        <f>IF('Expenses Summary'!$F13="","",IF('Cash Flow %s Yr3'!H59="","",'Cash Flow %s Yr3'!H59*'Expenses Summary'!$F13))</f>
        <v>5556.85</v>
      </c>
      <c r="I59" s="64">
        <f>IF('Expenses Summary'!$F13="","",IF('Cash Flow %s Yr3'!I59="","",'Cash Flow %s Yr3'!I59*'Expenses Summary'!$F13))</f>
        <v>5556.85</v>
      </c>
      <c r="J59" s="64">
        <f>IF('Expenses Summary'!$F13="","",IF('Cash Flow %s Yr3'!J59="","",'Cash Flow %s Yr3'!J59*'Expenses Summary'!$F13))</f>
        <v>5556.85</v>
      </c>
      <c r="K59" s="64">
        <f>IF('Expenses Summary'!$F13="","",IF('Cash Flow %s Yr3'!K59="","",'Cash Flow %s Yr3'!K59*'Expenses Summary'!$F13))</f>
        <v>5556.85</v>
      </c>
      <c r="L59" s="64">
        <f>IF('Expenses Summary'!$F13="","",IF('Cash Flow %s Yr3'!L59="","",'Cash Flow %s Yr3'!L59*'Expenses Summary'!$F13))</f>
        <v>5623.8</v>
      </c>
      <c r="M59" s="64">
        <f>IF('Expenses Summary'!$F13="","",IF('Cash Flow %s Yr3'!M59="","",'Cash Flow %s Yr3'!M59*'Expenses Summary'!$F13))</f>
        <v>5623.8</v>
      </c>
      <c r="N59" s="64">
        <f>IF('Expenses Summary'!$F13="","",IF('Cash Flow %s Yr3'!N59="","",'Cash Flow %s Yr3'!N59*'Expenses Summary'!$F13))</f>
        <v>5623.8</v>
      </c>
      <c r="O59" s="64">
        <f>IF('Expenses Summary'!$F13="","",IF('Cash Flow %s Yr3'!O59="","",'Cash Flow %s Yr3'!O59*'Expenses Summary'!$F13))</f>
        <v>5623.8</v>
      </c>
      <c r="P59" s="129"/>
      <c r="Q59" s="129"/>
      <c r="R59" s="129"/>
      <c r="S59" s="111">
        <f>IF(SUM(D59:R59)&gt;0,SUM(D59:R59)/'Expenses Summary'!$F13,"")</f>
        <v>1</v>
      </c>
    </row>
    <row r="60" spans="1:19" x14ac:dyDescent="0.2">
      <c r="A60" s="36"/>
      <c r="B60" s="67" t="str">
        <f>'Expenses Summary'!B14</f>
        <v>1305</v>
      </c>
      <c r="C60" s="67" t="str">
        <f>'Expenses Summary'!C14</f>
        <v>Certificated Supervisor and Administrator Bonuses</v>
      </c>
      <c r="D60" s="64">
        <f>IF('Expenses Summary'!$F14="","",IF('Cash Flow %s Yr3'!D60="","",'Cash Flow %s Yr3'!D60*'Expenses Summary'!$F14))</f>
        <v>0</v>
      </c>
      <c r="E60" s="64">
        <f>IF('Expenses Summary'!$F14="","",IF('Cash Flow %s Yr3'!E60="","",'Cash Flow %s Yr3'!E60*'Expenses Summary'!$F14))</f>
        <v>0</v>
      </c>
      <c r="F60" s="64">
        <f>IF('Expenses Summary'!$F14="","",IF('Cash Flow %s Yr3'!F60="","",'Cash Flow %s Yr3'!F60*'Expenses Summary'!$F14))</f>
        <v>0</v>
      </c>
      <c r="G60" s="64">
        <f>IF('Expenses Summary'!$F14="","",IF('Cash Flow %s Yr3'!G60="","",'Cash Flow %s Yr3'!G60*'Expenses Summary'!$F14))</f>
        <v>0</v>
      </c>
      <c r="H60" s="64">
        <f>IF('Expenses Summary'!$F14="","",IF('Cash Flow %s Yr3'!H60="","",'Cash Flow %s Yr3'!H60*'Expenses Summary'!$F14))</f>
        <v>0</v>
      </c>
      <c r="I60" s="64">
        <f>IF('Expenses Summary'!$F14="","",IF('Cash Flow %s Yr3'!I60="","",'Cash Flow %s Yr3'!I60*'Expenses Summary'!$F14))</f>
        <v>1500</v>
      </c>
      <c r="J60" s="64">
        <f>IF('Expenses Summary'!$F14="","",IF('Cash Flow %s Yr3'!J60="","",'Cash Flow %s Yr3'!J60*'Expenses Summary'!$F14))</f>
        <v>0</v>
      </c>
      <c r="K60" s="64">
        <f>IF('Expenses Summary'!$F14="","",IF('Cash Flow %s Yr3'!K60="","",'Cash Flow %s Yr3'!K60*'Expenses Summary'!$F14))</f>
        <v>0</v>
      </c>
      <c r="L60" s="64">
        <f>IF('Expenses Summary'!$F14="","",IF('Cash Flow %s Yr3'!L60="","",'Cash Flow %s Yr3'!L60*'Expenses Summary'!$F14))</f>
        <v>0</v>
      </c>
      <c r="M60" s="64">
        <f>IF('Expenses Summary'!$F14="","",IF('Cash Flow %s Yr3'!M60="","",'Cash Flow %s Yr3'!M60*'Expenses Summary'!$F14))</f>
        <v>0</v>
      </c>
      <c r="N60" s="64">
        <f>IF('Expenses Summary'!$F14="","",IF('Cash Flow %s Yr3'!N60="","",'Cash Flow %s Yr3'!N60*'Expenses Summary'!$F14))</f>
        <v>0</v>
      </c>
      <c r="O60" s="64">
        <f>IF('Expenses Summary'!$F14="","",IF('Cash Flow %s Yr3'!O60="","",'Cash Flow %s Yr3'!O60*'Expenses Summary'!$F14))</f>
        <v>0</v>
      </c>
      <c r="P60" s="129"/>
      <c r="Q60" s="129"/>
      <c r="R60" s="129"/>
      <c r="S60" s="111">
        <f>IF(SUM(D60:R60)&gt;0,SUM(D60:R60)/'Expenses Summary'!$F14,"")</f>
        <v>1</v>
      </c>
    </row>
    <row r="61" spans="1:19" x14ac:dyDescent="0.2">
      <c r="A61" s="36"/>
      <c r="B61" s="67" t="str">
        <f>'Expenses Summary'!B15</f>
        <v>1900</v>
      </c>
      <c r="C61" s="67" t="str">
        <f>'Expenses Summary'!C15</f>
        <v>Other Certificated Salaries</v>
      </c>
      <c r="D61" s="64">
        <f>IF('Expenses Summary'!$F15="","",IF('Cash Flow %s Yr3'!D61="","",'Cash Flow %s Yr3'!D61*'Expenses Summary'!$F15))</f>
        <v>0</v>
      </c>
      <c r="E61" s="64">
        <f>IF('Expenses Summary'!$F15="","",IF('Cash Flow %s Yr3'!E61="","",'Cash Flow %s Yr3'!E61*'Expenses Summary'!$F15))</f>
        <v>0</v>
      </c>
      <c r="F61" s="64">
        <f>IF('Expenses Summary'!$F15="","",IF('Cash Flow %s Yr3'!F61="","",'Cash Flow %s Yr3'!F61*'Expenses Summary'!$F15))</f>
        <v>0</v>
      </c>
      <c r="G61" s="64">
        <f>IF('Expenses Summary'!$F15="","",IF('Cash Flow %s Yr3'!G61="","",'Cash Flow %s Yr3'!G61*'Expenses Summary'!$F15))</f>
        <v>0</v>
      </c>
      <c r="H61" s="64">
        <f>IF('Expenses Summary'!$F15="","",IF('Cash Flow %s Yr3'!H61="","",'Cash Flow %s Yr3'!H61*'Expenses Summary'!$F15))</f>
        <v>0</v>
      </c>
      <c r="I61" s="64">
        <f>IF('Expenses Summary'!$F15="","",IF('Cash Flow %s Yr3'!I61="","",'Cash Flow %s Yr3'!I61*'Expenses Summary'!$F15))</f>
        <v>0</v>
      </c>
      <c r="J61" s="64">
        <f>IF('Expenses Summary'!$F15="","",IF('Cash Flow %s Yr3'!J61="","",'Cash Flow %s Yr3'!J61*'Expenses Summary'!$F15))</f>
        <v>0</v>
      </c>
      <c r="K61" s="64">
        <f>IF('Expenses Summary'!$F15="","",IF('Cash Flow %s Yr3'!K61="","",'Cash Flow %s Yr3'!K61*'Expenses Summary'!$F15))</f>
        <v>0</v>
      </c>
      <c r="L61" s="64">
        <f>IF('Expenses Summary'!$F15="","",IF('Cash Flow %s Yr3'!L61="","",'Cash Flow %s Yr3'!L61*'Expenses Summary'!$F15))</f>
        <v>0</v>
      </c>
      <c r="M61" s="64">
        <f>IF('Expenses Summary'!$F15="","",IF('Cash Flow %s Yr3'!M61="","",'Cash Flow %s Yr3'!M61*'Expenses Summary'!$F15))</f>
        <v>0</v>
      </c>
      <c r="N61" s="64">
        <f>IF('Expenses Summary'!$F15="","",IF('Cash Flow %s Yr3'!N61="","",'Cash Flow %s Yr3'!N61*'Expenses Summary'!$F15))</f>
        <v>0</v>
      </c>
      <c r="O61" s="64">
        <f>IF('Expenses Summary'!$F15="","",IF('Cash Flow %s Yr3'!O61="","",'Cash Flow %s Yr3'!O61*'Expenses Summary'!$F15))</f>
        <v>0</v>
      </c>
      <c r="P61" s="129"/>
      <c r="Q61" s="129"/>
      <c r="R61" s="129"/>
      <c r="S61" s="111" t="str">
        <f>IF(SUM(D61:R61)&gt;0,SUM(D61:R61)/'Expenses Summary'!$F15,"")</f>
        <v/>
      </c>
    </row>
    <row r="62" spans="1:19" x14ac:dyDescent="0.2">
      <c r="A62" s="36"/>
      <c r="B62" s="67" t="str">
        <f>'Expenses Summary'!B16</f>
        <v>1910</v>
      </c>
      <c r="C62" s="67" t="str">
        <f>'Expenses Summary'!C16</f>
        <v>Other Certificated Overtime</v>
      </c>
      <c r="D62" s="64">
        <f>IF('Expenses Summary'!$F16="","",IF('Cash Flow %s Yr3'!D62="","",'Cash Flow %s Yr3'!D62*'Expenses Summary'!$F16))</f>
        <v>0</v>
      </c>
      <c r="E62" s="64">
        <f>IF('Expenses Summary'!$F16="","",IF('Cash Flow %s Yr3'!E62="","",'Cash Flow %s Yr3'!E62*'Expenses Summary'!$F16))</f>
        <v>0</v>
      </c>
      <c r="F62" s="64">
        <f>IF('Expenses Summary'!$F16="","",IF('Cash Flow %s Yr3'!F62="","",'Cash Flow %s Yr3'!F62*'Expenses Summary'!$F16))</f>
        <v>0</v>
      </c>
      <c r="G62" s="64">
        <f>IF('Expenses Summary'!$F16="","",IF('Cash Flow %s Yr3'!G62="","",'Cash Flow %s Yr3'!G62*'Expenses Summary'!$F16))</f>
        <v>0</v>
      </c>
      <c r="H62" s="64">
        <f>IF('Expenses Summary'!$F16="","",IF('Cash Flow %s Yr3'!H62="","",'Cash Flow %s Yr3'!H62*'Expenses Summary'!$F16))</f>
        <v>0</v>
      </c>
      <c r="I62" s="64">
        <f>IF('Expenses Summary'!$F16="","",IF('Cash Flow %s Yr3'!I62="","",'Cash Flow %s Yr3'!I62*'Expenses Summary'!$F16))</f>
        <v>0</v>
      </c>
      <c r="J62" s="64">
        <f>IF('Expenses Summary'!$F16="","",IF('Cash Flow %s Yr3'!J62="","",'Cash Flow %s Yr3'!J62*'Expenses Summary'!$F16))</f>
        <v>0</v>
      </c>
      <c r="K62" s="64">
        <f>IF('Expenses Summary'!$F16="","",IF('Cash Flow %s Yr3'!K62="","",'Cash Flow %s Yr3'!K62*'Expenses Summary'!$F16))</f>
        <v>0</v>
      </c>
      <c r="L62" s="64">
        <f>IF('Expenses Summary'!$F16="","",IF('Cash Flow %s Yr3'!L62="","",'Cash Flow %s Yr3'!L62*'Expenses Summary'!$F16))</f>
        <v>0</v>
      </c>
      <c r="M62" s="64">
        <f>IF('Expenses Summary'!$F16="","",IF('Cash Flow %s Yr3'!M62="","",'Cash Flow %s Yr3'!M62*'Expenses Summary'!$F16))</f>
        <v>0</v>
      </c>
      <c r="N62" s="64">
        <f>IF('Expenses Summary'!$F16="","",IF('Cash Flow %s Yr3'!N62="","",'Cash Flow %s Yr3'!N62*'Expenses Summary'!$F16))</f>
        <v>0</v>
      </c>
      <c r="O62" s="64">
        <f>IF('Expenses Summary'!$F16="","",IF('Cash Flow %s Yr3'!O62="","",'Cash Flow %s Yr3'!O62*'Expenses Summary'!$F16))</f>
        <v>0</v>
      </c>
      <c r="P62" s="129"/>
      <c r="Q62" s="129"/>
      <c r="R62" s="129"/>
      <c r="S62" s="111" t="str">
        <f>IF(SUM(D62:R62)&gt;0,SUM(D62:R62)/'Expenses Summary'!$F16,"")</f>
        <v/>
      </c>
    </row>
    <row r="63" spans="1:19" x14ac:dyDescent="0.2">
      <c r="A63" s="36"/>
      <c r="B63" s="36" t="s">
        <v>555</v>
      </c>
      <c r="C63" s="34" t="s">
        <v>721</v>
      </c>
      <c r="D63" s="172">
        <f t="shared" ref="D63:I63" si="4">IF(SUM(D54:D62)&gt;0,SUM(D54:D62),"")</f>
        <v>25792.845940000007</v>
      </c>
      <c r="E63" s="172">
        <f t="shared" si="4"/>
        <v>25792.845940000007</v>
      </c>
      <c r="F63" s="172">
        <f t="shared" si="4"/>
        <v>25957.645940000002</v>
      </c>
      <c r="G63" s="172">
        <f t="shared" si="4"/>
        <v>25957.645940000002</v>
      </c>
      <c r="H63" s="172">
        <f t="shared" si="4"/>
        <v>25957.645940000002</v>
      </c>
      <c r="I63" s="172">
        <f t="shared" si="4"/>
        <v>28957.645940000002</v>
      </c>
      <c r="J63" s="172">
        <f t="shared" ref="J63:O63" si="5">IF(SUM(J54:J62)&gt;0,SUM(J54:J62),"")</f>
        <v>25957.645940000002</v>
      </c>
      <c r="K63" s="172">
        <f t="shared" si="5"/>
        <v>25957.645940000002</v>
      </c>
      <c r="L63" s="172">
        <f t="shared" si="5"/>
        <v>26268.403120000003</v>
      </c>
      <c r="M63" s="172">
        <f t="shared" si="5"/>
        <v>26268.403120000003</v>
      </c>
      <c r="N63" s="172">
        <f t="shared" si="5"/>
        <v>26268.403120000003</v>
      </c>
      <c r="O63" s="172">
        <f t="shared" si="5"/>
        <v>26268.403120000003</v>
      </c>
      <c r="P63" s="127"/>
      <c r="Q63" s="127"/>
      <c r="R63" s="127"/>
      <c r="S63" s="107"/>
    </row>
    <row r="64" spans="1:19" s="31" customFormat="1" x14ac:dyDescent="0.2">
      <c r="A64" s="36"/>
      <c r="B64" s="40"/>
      <c r="C64" s="3"/>
      <c r="D64" s="130"/>
      <c r="E64" s="130"/>
      <c r="F64" s="130"/>
      <c r="G64" s="130"/>
      <c r="H64" s="130"/>
      <c r="I64" s="130"/>
      <c r="J64" s="130"/>
      <c r="K64" s="130"/>
      <c r="L64" s="130"/>
      <c r="M64" s="130"/>
      <c r="N64" s="130"/>
      <c r="O64" s="130"/>
      <c r="P64" s="130"/>
      <c r="Q64" s="130"/>
      <c r="R64" s="130"/>
    </row>
    <row r="65" spans="1:19" s="31" customFormat="1" x14ac:dyDescent="0.2">
      <c r="B65" s="5" t="s">
        <v>734</v>
      </c>
      <c r="C65" s="3"/>
      <c r="D65" s="130"/>
      <c r="E65" s="130"/>
      <c r="F65" s="130"/>
      <c r="G65" s="130"/>
      <c r="H65" s="130"/>
      <c r="I65" s="130"/>
      <c r="J65" s="130"/>
      <c r="K65" s="130"/>
      <c r="L65" s="130"/>
      <c r="M65" s="130"/>
      <c r="N65" s="130"/>
      <c r="O65" s="130"/>
      <c r="P65" s="130"/>
      <c r="Q65" s="130"/>
      <c r="R65" s="130"/>
    </row>
    <row r="66" spans="1:19" s="31" customFormat="1" x14ac:dyDescent="0.2">
      <c r="A66" s="36"/>
      <c r="B66" s="67" t="str">
        <f>'Expenses Summary'!B20</f>
        <v>2100</v>
      </c>
      <c r="C66" s="67" t="str">
        <f>'Expenses Summary'!C20</f>
        <v>Instructional Aide Salaries</v>
      </c>
      <c r="D66" s="64">
        <f>IF('Expenses Summary'!$F20="","",IF('Cash Flow %s Yr3'!D66="","",'Cash Flow %s Yr3'!D66*'Expenses Summary'!$F20))</f>
        <v>0</v>
      </c>
      <c r="E66" s="64">
        <f>IF('Expenses Summary'!$F20="","",IF('Cash Flow %s Yr3'!E66="","",'Cash Flow %s Yr3'!E66*'Expenses Summary'!$F20))</f>
        <v>0</v>
      </c>
      <c r="F66" s="64">
        <f>IF('Expenses Summary'!$F20="","",IF('Cash Flow %s Yr3'!F66="","",'Cash Flow %s Yr3'!F66*'Expenses Summary'!$F20))</f>
        <v>9241.1600000000017</v>
      </c>
      <c r="G66" s="64">
        <f>IF('Expenses Summary'!$F20="","",IF('Cash Flow %s Yr3'!G66="","",'Cash Flow %s Yr3'!G66*'Expenses Summary'!$F20))</f>
        <v>9241.1600000000017</v>
      </c>
      <c r="H66" s="64">
        <f>IF('Expenses Summary'!$F20="","",IF('Cash Flow %s Yr3'!H66="","",'Cash Flow %s Yr3'!H66*'Expenses Summary'!$F20))</f>
        <v>9241.1600000000017</v>
      </c>
      <c r="I66" s="64">
        <f>IF('Expenses Summary'!$F20="","",IF('Cash Flow %s Yr3'!I66="","",'Cash Flow %s Yr3'!I66*'Expenses Summary'!$F20))</f>
        <v>9241.1600000000017</v>
      </c>
      <c r="J66" s="64">
        <f>IF('Expenses Summary'!$F20="","",IF('Cash Flow %s Yr3'!J66="","",'Cash Flow %s Yr3'!J66*'Expenses Summary'!$F20))</f>
        <v>9241.1600000000017</v>
      </c>
      <c r="K66" s="64">
        <f>IF('Expenses Summary'!$F20="","",IF('Cash Flow %s Yr3'!K66="","",'Cash Flow %s Yr3'!K66*'Expenses Summary'!$F20))</f>
        <v>9241.1600000000017</v>
      </c>
      <c r="L66" s="64">
        <f>IF('Expenses Summary'!$F20="","",IF('Cash Flow %s Yr3'!L66="","",'Cash Flow %s Yr3'!L66*'Expenses Summary'!$F20))</f>
        <v>9241.1600000000017</v>
      </c>
      <c r="M66" s="64">
        <f>IF('Expenses Summary'!$F20="","",IF('Cash Flow %s Yr3'!M66="","",'Cash Flow %s Yr3'!M66*'Expenses Summary'!$F20))</f>
        <v>9241.1600000000017</v>
      </c>
      <c r="N66" s="64">
        <f>IF('Expenses Summary'!$F20="","",IF('Cash Flow %s Yr3'!N66="","",'Cash Flow %s Yr3'!N66*'Expenses Summary'!$F20))</f>
        <v>9241.1600000000017</v>
      </c>
      <c r="O66" s="64">
        <f>IF('Expenses Summary'!$F20="","",IF('Cash Flow %s Yr3'!O66="","",'Cash Flow %s Yr3'!O66*'Expenses Summary'!$F20))</f>
        <v>9241.1600000000017</v>
      </c>
      <c r="P66" s="129"/>
      <c r="Q66" s="129"/>
      <c r="R66" s="129"/>
      <c r="S66" s="111">
        <f>IF(SUM(D66:R66)&gt;0,SUM(D66:R66)/'Expenses Summary'!$F20,"")</f>
        <v>1.0000000000000002</v>
      </c>
    </row>
    <row r="67" spans="1:19" s="31" customFormat="1" x14ac:dyDescent="0.2">
      <c r="A67" s="36"/>
      <c r="B67" s="67" t="str">
        <f>'Expenses Summary'!B21</f>
        <v>2110</v>
      </c>
      <c r="C67" s="67" t="str">
        <f>'Expenses Summary'!C21</f>
        <v>Instructional Aide Overtime</v>
      </c>
      <c r="D67" s="64">
        <f>IF('Expenses Summary'!$F21="","",IF('Cash Flow %s Yr3'!D67="","",'Cash Flow %s Yr3'!D67*'Expenses Summary'!$F21))</f>
        <v>0</v>
      </c>
      <c r="E67" s="64">
        <f>IF('Expenses Summary'!$F21="","",IF('Cash Flow %s Yr3'!E67="","",'Cash Flow %s Yr3'!E67*'Expenses Summary'!$F21))</f>
        <v>0</v>
      </c>
      <c r="F67" s="64">
        <f>IF('Expenses Summary'!$F21="","",IF('Cash Flow %s Yr3'!F67="","",'Cash Flow %s Yr3'!F67*'Expenses Summary'!$F21))</f>
        <v>0</v>
      </c>
      <c r="G67" s="64">
        <f>IF('Expenses Summary'!$F21="","",IF('Cash Flow %s Yr3'!G67="","",'Cash Flow %s Yr3'!G67*'Expenses Summary'!$F21))</f>
        <v>0</v>
      </c>
      <c r="H67" s="64">
        <f>IF('Expenses Summary'!$F21="","",IF('Cash Flow %s Yr3'!H67="","",'Cash Flow %s Yr3'!H67*'Expenses Summary'!$F21))</f>
        <v>0</v>
      </c>
      <c r="I67" s="64">
        <f>IF('Expenses Summary'!$F21="","",IF('Cash Flow %s Yr3'!I67="","",'Cash Flow %s Yr3'!I67*'Expenses Summary'!$F21))</f>
        <v>0</v>
      </c>
      <c r="J67" s="64">
        <f>IF('Expenses Summary'!$F21="","",IF('Cash Flow %s Yr3'!J67="","",'Cash Flow %s Yr3'!J67*'Expenses Summary'!$F21))</f>
        <v>0</v>
      </c>
      <c r="K67" s="64">
        <f>IF('Expenses Summary'!$F21="","",IF('Cash Flow %s Yr3'!K67="","",'Cash Flow %s Yr3'!K67*'Expenses Summary'!$F21))</f>
        <v>0</v>
      </c>
      <c r="L67" s="64">
        <f>IF('Expenses Summary'!$F21="","",IF('Cash Flow %s Yr3'!L67="","",'Cash Flow %s Yr3'!L67*'Expenses Summary'!$F21))</f>
        <v>0</v>
      </c>
      <c r="M67" s="64">
        <f>IF('Expenses Summary'!$F21="","",IF('Cash Flow %s Yr3'!M67="","",'Cash Flow %s Yr3'!M67*'Expenses Summary'!$F21))</f>
        <v>0</v>
      </c>
      <c r="N67" s="64">
        <f>IF('Expenses Summary'!$F21="","",IF('Cash Flow %s Yr3'!N67="","",'Cash Flow %s Yr3'!N67*'Expenses Summary'!$F21))</f>
        <v>0</v>
      </c>
      <c r="O67" s="64">
        <f>IF('Expenses Summary'!$F21="","",IF('Cash Flow %s Yr3'!O67="","",'Cash Flow %s Yr3'!O67*'Expenses Summary'!$F21))</f>
        <v>0</v>
      </c>
      <c r="P67" s="129"/>
      <c r="Q67" s="129"/>
      <c r="R67" s="129"/>
      <c r="S67" s="111" t="str">
        <f>IF(SUM(D67:R67)&gt;0,SUM(D67:R67)/'Expenses Summary'!$F21,"")</f>
        <v/>
      </c>
    </row>
    <row r="68" spans="1:19" s="31" customFormat="1" x14ac:dyDescent="0.2">
      <c r="A68" s="36"/>
      <c r="B68" s="67" t="str">
        <f>'Expenses Summary'!B22</f>
        <v>2200</v>
      </c>
      <c r="C68" s="67" t="str">
        <f>'Expenses Summary'!C22</f>
        <v>Classified Support Salaries</v>
      </c>
      <c r="D68" s="64">
        <f>IF('Expenses Summary'!$F22="","",IF('Cash Flow %s Yr3'!D68="","",'Cash Flow %s Yr3'!D68*'Expenses Summary'!$F22))</f>
        <v>0</v>
      </c>
      <c r="E68" s="64">
        <f>IF('Expenses Summary'!$F22="","",IF('Cash Flow %s Yr3'!E68="","",'Cash Flow %s Yr3'!E68*'Expenses Summary'!$F22))</f>
        <v>0</v>
      </c>
      <c r="F68" s="64">
        <f>IF('Expenses Summary'!$F22="","",IF('Cash Flow %s Yr3'!F68="","",'Cash Flow %s Yr3'!F68*'Expenses Summary'!$F22))</f>
        <v>0</v>
      </c>
      <c r="G68" s="64">
        <f>IF('Expenses Summary'!$F22="","",IF('Cash Flow %s Yr3'!G68="","",'Cash Flow %s Yr3'!G68*'Expenses Summary'!$F22))</f>
        <v>0</v>
      </c>
      <c r="H68" s="64">
        <f>IF('Expenses Summary'!$F22="","",IF('Cash Flow %s Yr3'!H68="","",'Cash Flow %s Yr3'!H68*'Expenses Summary'!$F22))</f>
        <v>0</v>
      </c>
      <c r="I68" s="64">
        <f>IF('Expenses Summary'!$F22="","",IF('Cash Flow %s Yr3'!I68="","",'Cash Flow %s Yr3'!I68*'Expenses Summary'!$F22))</f>
        <v>0</v>
      </c>
      <c r="J68" s="64">
        <f>IF('Expenses Summary'!$F22="","",IF('Cash Flow %s Yr3'!J68="","",'Cash Flow %s Yr3'!J68*'Expenses Summary'!$F22))</f>
        <v>0</v>
      </c>
      <c r="K68" s="64">
        <f>IF('Expenses Summary'!$F22="","",IF('Cash Flow %s Yr3'!K68="","",'Cash Flow %s Yr3'!K68*'Expenses Summary'!$F22))</f>
        <v>0</v>
      </c>
      <c r="L68" s="64">
        <f>IF('Expenses Summary'!$F22="","",IF('Cash Flow %s Yr3'!L68="","",'Cash Flow %s Yr3'!L68*'Expenses Summary'!$F22))</f>
        <v>0</v>
      </c>
      <c r="M68" s="64">
        <f>IF('Expenses Summary'!$F22="","",IF('Cash Flow %s Yr3'!M68="","",'Cash Flow %s Yr3'!M68*'Expenses Summary'!$F22))</f>
        <v>0</v>
      </c>
      <c r="N68" s="64">
        <f>IF('Expenses Summary'!$F22="","",IF('Cash Flow %s Yr3'!N68="","",'Cash Flow %s Yr3'!N68*'Expenses Summary'!$F22))</f>
        <v>0</v>
      </c>
      <c r="O68" s="64">
        <f>IF('Expenses Summary'!$F22="","",IF('Cash Flow %s Yr3'!O68="","",'Cash Flow %s Yr3'!O68*'Expenses Summary'!$F22))</f>
        <v>0</v>
      </c>
      <c r="P68" s="129"/>
      <c r="Q68" s="129"/>
      <c r="R68" s="129"/>
      <c r="S68" s="111" t="str">
        <f>IF(SUM(D68:R68)&gt;0,SUM(D68:R68)/'Expenses Summary'!$F22,"")</f>
        <v/>
      </c>
    </row>
    <row r="69" spans="1:19" s="31" customFormat="1" x14ac:dyDescent="0.2">
      <c r="A69" s="36"/>
      <c r="B69" s="67" t="str">
        <f>'Expenses Summary'!B23</f>
        <v>2210</v>
      </c>
      <c r="C69" s="67" t="str">
        <f>'Expenses Summary'!C23</f>
        <v>Classified Support Overtime</v>
      </c>
      <c r="D69" s="64">
        <f>IF('Expenses Summary'!$F23="","",IF('Cash Flow %s Yr3'!D69="","",'Cash Flow %s Yr3'!D69*'Expenses Summary'!$F23))</f>
        <v>0</v>
      </c>
      <c r="E69" s="64">
        <f>IF('Expenses Summary'!$F23="","",IF('Cash Flow %s Yr3'!E69="","",'Cash Flow %s Yr3'!E69*'Expenses Summary'!$F23))</f>
        <v>0</v>
      </c>
      <c r="F69" s="64">
        <f>IF('Expenses Summary'!$F23="","",IF('Cash Flow %s Yr3'!F69="","",'Cash Flow %s Yr3'!F69*'Expenses Summary'!$F23))</f>
        <v>0</v>
      </c>
      <c r="G69" s="64">
        <f>IF('Expenses Summary'!$F23="","",IF('Cash Flow %s Yr3'!G69="","",'Cash Flow %s Yr3'!G69*'Expenses Summary'!$F23))</f>
        <v>0</v>
      </c>
      <c r="H69" s="64">
        <f>IF('Expenses Summary'!$F23="","",IF('Cash Flow %s Yr3'!H69="","",'Cash Flow %s Yr3'!H69*'Expenses Summary'!$F23))</f>
        <v>0</v>
      </c>
      <c r="I69" s="64">
        <f>IF('Expenses Summary'!$F23="","",IF('Cash Flow %s Yr3'!I69="","",'Cash Flow %s Yr3'!I69*'Expenses Summary'!$F23))</f>
        <v>0</v>
      </c>
      <c r="J69" s="64">
        <f>IF('Expenses Summary'!$F23="","",IF('Cash Flow %s Yr3'!J69="","",'Cash Flow %s Yr3'!J69*'Expenses Summary'!$F23))</f>
        <v>0</v>
      </c>
      <c r="K69" s="64">
        <f>IF('Expenses Summary'!$F23="","",IF('Cash Flow %s Yr3'!K69="","",'Cash Flow %s Yr3'!K69*'Expenses Summary'!$F23))</f>
        <v>0</v>
      </c>
      <c r="L69" s="64">
        <f>IF('Expenses Summary'!$F23="","",IF('Cash Flow %s Yr3'!L69="","",'Cash Flow %s Yr3'!L69*'Expenses Summary'!$F23))</f>
        <v>0</v>
      </c>
      <c r="M69" s="64">
        <f>IF('Expenses Summary'!$F23="","",IF('Cash Flow %s Yr3'!M69="","",'Cash Flow %s Yr3'!M69*'Expenses Summary'!$F23))</f>
        <v>0</v>
      </c>
      <c r="N69" s="64">
        <f>IF('Expenses Summary'!$F23="","",IF('Cash Flow %s Yr3'!N69="","",'Cash Flow %s Yr3'!N69*'Expenses Summary'!$F23))</f>
        <v>0</v>
      </c>
      <c r="O69" s="64">
        <f>IF('Expenses Summary'!$F23="","",IF('Cash Flow %s Yr3'!O69="","",'Cash Flow %s Yr3'!O69*'Expenses Summary'!$F23))</f>
        <v>0</v>
      </c>
      <c r="P69" s="129"/>
      <c r="Q69" s="129"/>
      <c r="R69" s="129"/>
      <c r="S69" s="111" t="str">
        <f>IF(SUM(D69:R69)&gt;0,SUM(D69:R69)/'Expenses Summary'!$F23,"")</f>
        <v/>
      </c>
    </row>
    <row r="70" spans="1:19" s="31" customFormat="1" x14ac:dyDescent="0.2">
      <c r="A70" s="36"/>
      <c r="B70" s="67" t="str">
        <f>'Expenses Summary'!B24</f>
        <v>2300</v>
      </c>
      <c r="C70" s="67" t="str">
        <f>'Expenses Summary'!C24</f>
        <v>Classified Supervisor and Administrator Salaries</v>
      </c>
      <c r="D70" s="64">
        <f>IF('Expenses Summary'!$F24="","",IF('Cash Flow %s Yr3'!D70="","",'Cash Flow %s Yr3'!D70*'Expenses Summary'!$F24))</f>
        <v>0</v>
      </c>
      <c r="E70" s="64">
        <f>IF('Expenses Summary'!$F24="","",IF('Cash Flow %s Yr3'!E70="","",'Cash Flow %s Yr3'!E70*'Expenses Summary'!$F24))</f>
        <v>0</v>
      </c>
      <c r="F70" s="64">
        <f>IF('Expenses Summary'!$F24="","",IF('Cash Flow %s Yr3'!F70="","",'Cash Flow %s Yr3'!F70*'Expenses Summary'!$F24))</f>
        <v>0</v>
      </c>
      <c r="G70" s="64">
        <f>IF('Expenses Summary'!$F24="","",IF('Cash Flow %s Yr3'!G70="","",'Cash Flow %s Yr3'!G70*'Expenses Summary'!$F24))</f>
        <v>0</v>
      </c>
      <c r="H70" s="64">
        <f>IF('Expenses Summary'!$F24="","",IF('Cash Flow %s Yr3'!H70="","",'Cash Flow %s Yr3'!H70*'Expenses Summary'!$F24))</f>
        <v>0</v>
      </c>
      <c r="I70" s="64">
        <f>IF('Expenses Summary'!$F24="","",IF('Cash Flow %s Yr3'!I70="","",'Cash Flow %s Yr3'!I70*'Expenses Summary'!$F24))</f>
        <v>0</v>
      </c>
      <c r="J70" s="64">
        <f>IF('Expenses Summary'!$F24="","",IF('Cash Flow %s Yr3'!J70="","",'Cash Flow %s Yr3'!J70*'Expenses Summary'!$F24))</f>
        <v>0</v>
      </c>
      <c r="K70" s="64">
        <f>IF('Expenses Summary'!$F24="","",IF('Cash Flow %s Yr3'!K70="","",'Cash Flow %s Yr3'!K70*'Expenses Summary'!$F24))</f>
        <v>0</v>
      </c>
      <c r="L70" s="64">
        <f>IF('Expenses Summary'!$F24="","",IF('Cash Flow %s Yr3'!L70="","",'Cash Flow %s Yr3'!L70*'Expenses Summary'!$F24))</f>
        <v>0</v>
      </c>
      <c r="M70" s="64">
        <f>IF('Expenses Summary'!$F24="","",IF('Cash Flow %s Yr3'!M70="","",'Cash Flow %s Yr3'!M70*'Expenses Summary'!$F24))</f>
        <v>0</v>
      </c>
      <c r="N70" s="64">
        <f>IF('Expenses Summary'!$F24="","",IF('Cash Flow %s Yr3'!N70="","",'Cash Flow %s Yr3'!N70*'Expenses Summary'!$F24))</f>
        <v>0</v>
      </c>
      <c r="O70" s="64">
        <f>IF('Expenses Summary'!$F24="","",IF('Cash Flow %s Yr3'!O70="","",'Cash Flow %s Yr3'!O70*'Expenses Summary'!$F24))</f>
        <v>0</v>
      </c>
      <c r="P70" s="129"/>
      <c r="Q70" s="129"/>
      <c r="R70" s="129"/>
      <c r="S70" s="111" t="str">
        <f>IF(SUM(D70:R70)&gt;0,SUM(D70:R70)/'Expenses Summary'!$F24,"")</f>
        <v/>
      </c>
    </row>
    <row r="71" spans="1:19" s="31" customFormat="1" x14ac:dyDescent="0.2">
      <c r="A71" s="36"/>
      <c r="B71" s="67" t="str">
        <f>'Expenses Summary'!B25</f>
        <v>2400</v>
      </c>
      <c r="C71" s="67" t="str">
        <f>'Expenses Summary'!C25</f>
        <v>Clerical, Technical, and Office Staff Salaries</v>
      </c>
      <c r="D71" s="64">
        <f>IF('Expenses Summary'!$F25="","",IF('Cash Flow %s Yr3'!D71="","",'Cash Flow %s Yr3'!D71*'Expenses Summary'!$F25))</f>
        <v>0</v>
      </c>
      <c r="E71" s="64">
        <f>IF('Expenses Summary'!$F25="","",IF('Cash Flow %s Yr3'!E71="","",'Cash Flow %s Yr3'!E71*'Expenses Summary'!$F25))</f>
        <v>0</v>
      </c>
      <c r="F71" s="64">
        <f>IF('Expenses Summary'!$F25="","",IF('Cash Flow %s Yr3'!F71="","",'Cash Flow %s Yr3'!F71*'Expenses Summary'!$F25))</f>
        <v>1915.8000000000002</v>
      </c>
      <c r="G71" s="64">
        <f>IF('Expenses Summary'!$F25="","",IF('Cash Flow %s Yr3'!G71="","",'Cash Flow %s Yr3'!G71*'Expenses Summary'!$F25))</f>
        <v>1915.8000000000002</v>
      </c>
      <c r="H71" s="64">
        <f>IF('Expenses Summary'!$F25="","",IF('Cash Flow %s Yr3'!H71="","",'Cash Flow %s Yr3'!H71*'Expenses Summary'!$F25))</f>
        <v>1915.8000000000002</v>
      </c>
      <c r="I71" s="64">
        <f>IF('Expenses Summary'!$F25="","",IF('Cash Flow %s Yr3'!I71="","",'Cash Flow %s Yr3'!I71*'Expenses Summary'!$F25))</f>
        <v>1915.8000000000002</v>
      </c>
      <c r="J71" s="64">
        <f>IF('Expenses Summary'!$F25="","",IF('Cash Flow %s Yr3'!J71="","",'Cash Flow %s Yr3'!J71*'Expenses Summary'!$F25))</f>
        <v>1915.8000000000002</v>
      </c>
      <c r="K71" s="64">
        <f>IF('Expenses Summary'!$F25="","",IF('Cash Flow %s Yr3'!K71="","",'Cash Flow %s Yr3'!K71*'Expenses Summary'!$F25))</f>
        <v>1915.8000000000002</v>
      </c>
      <c r="L71" s="64">
        <f>IF('Expenses Summary'!$F25="","",IF('Cash Flow %s Yr3'!L71="","",'Cash Flow %s Yr3'!L71*'Expenses Summary'!$F25))</f>
        <v>1915.8000000000002</v>
      </c>
      <c r="M71" s="64">
        <f>IF('Expenses Summary'!$F25="","",IF('Cash Flow %s Yr3'!M71="","",'Cash Flow %s Yr3'!M71*'Expenses Summary'!$F25))</f>
        <v>1915.8000000000002</v>
      </c>
      <c r="N71" s="64">
        <f>IF('Expenses Summary'!$F25="","",IF('Cash Flow %s Yr3'!N71="","",'Cash Flow %s Yr3'!N71*'Expenses Summary'!$F25))</f>
        <v>1915.8000000000002</v>
      </c>
      <c r="O71" s="64">
        <f>IF('Expenses Summary'!$F25="","",IF('Cash Flow %s Yr3'!O71="","",'Cash Flow %s Yr3'!O71*'Expenses Summary'!$F25))</f>
        <v>1915.8000000000002</v>
      </c>
      <c r="P71" s="129"/>
      <c r="Q71" s="129"/>
      <c r="R71" s="129"/>
      <c r="S71" s="111">
        <f>IF(SUM(D71:R71)&gt;0,SUM(D71:R71)/'Expenses Summary'!$F25,"")</f>
        <v>0.99999999999999978</v>
      </c>
    </row>
    <row r="72" spans="1:19" s="31" customFormat="1" x14ac:dyDescent="0.2">
      <c r="A72" s="36"/>
      <c r="B72" s="67" t="str">
        <f>'Expenses Summary'!B26</f>
        <v>2410</v>
      </c>
      <c r="C72" s="67" t="str">
        <f>'Expenses Summary'!C26</f>
        <v>Clerical, Technical, and Office Staff Overtime</v>
      </c>
      <c r="D72" s="64">
        <f>IF('Expenses Summary'!$F26="","",IF('Cash Flow %s Yr3'!D72="","",'Cash Flow %s Yr3'!D72*'Expenses Summary'!$F26))</f>
        <v>0</v>
      </c>
      <c r="E72" s="64">
        <f>IF('Expenses Summary'!$F26="","",IF('Cash Flow %s Yr3'!E72="","",'Cash Flow %s Yr3'!E72*'Expenses Summary'!$F26))</f>
        <v>0</v>
      </c>
      <c r="F72" s="64">
        <f>IF('Expenses Summary'!$F26="","",IF('Cash Flow %s Yr3'!F72="","",'Cash Flow %s Yr3'!F72*'Expenses Summary'!$F26))</f>
        <v>0</v>
      </c>
      <c r="G72" s="64">
        <f>IF('Expenses Summary'!$F26="","",IF('Cash Flow %s Yr3'!G72="","",'Cash Flow %s Yr3'!G72*'Expenses Summary'!$F26))</f>
        <v>0</v>
      </c>
      <c r="H72" s="64">
        <f>IF('Expenses Summary'!$F26="","",IF('Cash Flow %s Yr3'!H72="","",'Cash Flow %s Yr3'!H72*'Expenses Summary'!$F26))</f>
        <v>0</v>
      </c>
      <c r="I72" s="64">
        <f>IF('Expenses Summary'!$F26="","",IF('Cash Flow %s Yr3'!I72="","",'Cash Flow %s Yr3'!I72*'Expenses Summary'!$F26))</f>
        <v>0</v>
      </c>
      <c r="J72" s="64">
        <f>IF('Expenses Summary'!$F26="","",IF('Cash Flow %s Yr3'!J72="","",'Cash Flow %s Yr3'!J72*'Expenses Summary'!$F26))</f>
        <v>0</v>
      </c>
      <c r="K72" s="64">
        <f>IF('Expenses Summary'!$F26="","",IF('Cash Flow %s Yr3'!K72="","",'Cash Flow %s Yr3'!K72*'Expenses Summary'!$F26))</f>
        <v>0</v>
      </c>
      <c r="L72" s="64">
        <f>IF('Expenses Summary'!$F26="","",IF('Cash Flow %s Yr3'!L72="","",'Cash Flow %s Yr3'!L72*'Expenses Summary'!$F26))</f>
        <v>0</v>
      </c>
      <c r="M72" s="64">
        <f>IF('Expenses Summary'!$F26="","",IF('Cash Flow %s Yr3'!M72="","",'Cash Flow %s Yr3'!M72*'Expenses Summary'!$F26))</f>
        <v>0</v>
      </c>
      <c r="N72" s="64">
        <f>IF('Expenses Summary'!$F26="","",IF('Cash Flow %s Yr3'!N72="","",'Cash Flow %s Yr3'!N72*'Expenses Summary'!$F26))</f>
        <v>0</v>
      </c>
      <c r="O72" s="64">
        <f>IF('Expenses Summary'!$F26="","",IF('Cash Flow %s Yr3'!O72="","",'Cash Flow %s Yr3'!O72*'Expenses Summary'!$F26))</f>
        <v>0</v>
      </c>
      <c r="P72" s="129"/>
      <c r="Q72" s="129"/>
      <c r="R72" s="129"/>
      <c r="S72" s="111" t="str">
        <f>IF(SUM(D72:R72)&gt;0,SUM(D72:R72)/'Expenses Summary'!$F26,"")</f>
        <v/>
      </c>
    </row>
    <row r="73" spans="1:19" s="31" customFormat="1" x14ac:dyDescent="0.2">
      <c r="A73" s="36"/>
      <c r="B73" s="67" t="str">
        <f>'Expenses Summary'!B27</f>
        <v>2900</v>
      </c>
      <c r="C73" s="67" t="str">
        <f>'Expenses Summary'!C27</f>
        <v>Other Classified Salaries</v>
      </c>
      <c r="D73" s="64">
        <f>IF('Expenses Summary'!$F27="","",IF('Cash Flow %s Yr3'!D73="","",'Cash Flow %s Yr3'!D73*'Expenses Summary'!$F27))</f>
        <v>0</v>
      </c>
      <c r="E73" s="64">
        <f>IF('Expenses Summary'!$F27="","",IF('Cash Flow %s Yr3'!E73="","",'Cash Flow %s Yr3'!E73*'Expenses Summary'!$F27))</f>
        <v>0</v>
      </c>
      <c r="F73" s="64">
        <f>IF('Expenses Summary'!$F27="","",IF('Cash Flow %s Yr3'!F73="","",'Cash Flow %s Yr3'!F73*'Expenses Summary'!$F27))</f>
        <v>0</v>
      </c>
      <c r="G73" s="64">
        <f>IF('Expenses Summary'!$F27="","",IF('Cash Flow %s Yr3'!G73="","",'Cash Flow %s Yr3'!G73*'Expenses Summary'!$F27))</f>
        <v>0</v>
      </c>
      <c r="H73" s="64">
        <f>IF('Expenses Summary'!$F27="","",IF('Cash Flow %s Yr3'!H73="","",'Cash Flow %s Yr3'!H73*'Expenses Summary'!$F27))</f>
        <v>0</v>
      </c>
      <c r="I73" s="64">
        <f>IF('Expenses Summary'!$F27="","",IF('Cash Flow %s Yr3'!I73="","",'Cash Flow %s Yr3'!I73*'Expenses Summary'!$F27))</f>
        <v>0</v>
      </c>
      <c r="J73" s="64">
        <f>IF('Expenses Summary'!$F27="","",IF('Cash Flow %s Yr3'!J73="","",'Cash Flow %s Yr3'!J73*'Expenses Summary'!$F27))</f>
        <v>0</v>
      </c>
      <c r="K73" s="64">
        <f>IF('Expenses Summary'!$F27="","",IF('Cash Flow %s Yr3'!K73="","",'Cash Flow %s Yr3'!K73*'Expenses Summary'!$F27))</f>
        <v>0</v>
      </c>
      <c r="L73" s="64">
        <f>IF('Expenses Summary'!$F27="","",IF('Cash Flow %s Yr3'!L73="","",'Cash Flow %s Yr3'!L73*'Expenses Summary'!$F27))</f>
        <v>0</v>
      </c>
      <c r="M73" s="64">
        <f>IF('Expenses Summary'!$F27="","",IF('Cash Flow %s Yr3'!M73="","",'Cash Flow %s Yr3'!M73*'Expenses Summary'!$F27))</f>
        <v>0</v>
      </c>
      <c r="N73" s="64">
        <f>IF('Expenses Summary'!$F27="","",IF('Cash Flow %s Yr3'!N73="","",'Cash Flow %s Yr3'!N73*'Expenses Summary'!$F27))</f>
        <v>0</v>
      </c>
      <c r="O73" s="64">
        <f>IF('Expenses Summary'!$F27="","",IF('Cash Flow %s Yr3'!O73="","",'Cash Flow %s Yr3'!O73*'Expenses Summary'!$F27))</f>
        <v>0</v>
      </c>
      <c r="P73" s="129"/>
      <c r="Q73" s="129"/>
      <c r="R73" s="129"/>
      <c r="S73" s="111" t="str">
        <f>IF(SUM(D73:R73)&gt;0,SUM(D73:R73)/'Expenses Summary'!$F27,"")</f>
        <v/>
      </c>
    </row>
    <row r="74" spans="1:19" s="31" customFormat="1" x14ac:dyDescent="0.2">
      <c r="A74" s="36"/>
      <c r="B74" s="67" t="str">
        <f>'Expenses Summary'!B28</f>
        <v>2905</v>
      </c>
      <c r="C74" s="67" t="str">
        <f>'Expenses Summary'!C28</f>
        <v>Other Stipends</v>
      </c>
      <c r="D74" s="64">
        <f>IF('Expenses Summary'!$F28="","",IF('Cash Flow %s Yr3'!D74="","",'Cash Flow %s Yr3'!D74*'Expenses Summary'!$F28))</f>
        <v>0</v>
      </c>
      <c r="E74" s="64">
        <f>IF('Expenses Summary'!$F28="","",IF('Cash Flow %s Yr3'!E74="","",'Cash Flow %s Yr3'!E74*'Expenses Summary'!$F28))</f>
        <v>0</v>
      </c>
      <c r="F74" s="64">
        <f>IF('Expenses Summary'!$F28="","",IF('Cash Flow %s Yr3'!F74="","",'Cash Flow %s Yr3'!F74*'Expenses Summary'!$F28))</f>
        <v>0</v>
      </c>
      <c r="G74" s="64">
        <f>IF('Expenses Summary'!$F28="","",IF('Cash Flow %s Yr3'!G74="","",'Cash Flow %s Yr3'!G74*'Expenses Summary'!$F28))</f>
        <v>0</v>
      </c>
      <c r="H74" s="64">
        <f>IF('Expenses Summary'!$F28="","",IF('Cash Flow %s Yr3'!H74="","",'Cash Flow %s Yr3'!H74*'Expenses Summary'!$F28))</f>
        <v>0</v>
      </c>
      <c r="I74" s="64">
        <f>IF('Expenses Summary'!$F28="","",IF('Cash Flow %s Yr3'!I74="","",'Cash Flow %s Yr3'!I74*'Expenses Summary'!$F28))</f>
        <v>0</v>
      </c>
      <c r="J74" s="64">
        <f>IF('Expenses Summary'!$F28="","",IF('Cash Flow %s Yr3'!J74="","",'Cash Flow %s Yr3'!J74*'Expenses Summary'!$F28))</f>
        <v>0</v>
      </c>
      <c r="K74" s="64">
        <f>IF('Expenses Summary'!$F28="","",IF('Cash Flow %s Yr3'!K74="","",'Cash Flow %s Yr3'!K74*'Expenses Summary'!$F28))</f>
        <v>0</v>
      </c>
      <c r="L74" s="64">
        <f>IF('Expenses Summary'!$F28="","",IF('Cash Flow %s Yr3'!L74="","",'Cash Flow %s Yr3'!L74*'Expenses Summary'!$F28))</f>
        <v>0</v>
      </c>
      <c r="M74" s="64">
        <f>IF('Expenses Summary'!$F28="","",IF('Cash Flow %s Yr3'!M74="","",'Cash Flow %s Yr3'!M74*'Expenses Summary'!$F28))</f>
        <v>0</v>
      </c>
      <c r="N74" s="64">
        <f>IF('Expenses Summary'!$F28="","",IF('Cash Flow %s Yr3'!N74="","",'Cash Flow %s Yr3'!N74*'Expenses Summary'!$F28))</f>
        <v>0</v>
      </c>
      <c r="O74" s="64">
        <f>IF('Expenses Summary'!$F28="","",IF('Cash Flow %s Yr3'!O74="","",'Cash Flow %s Yr3'!O74*'Expenses Summary'!$F28))</f>
        <v>0</v>
      </c>
      <c r="P74" s="129"/>
      <c r="Q74" s="129"/>
      <c r="R74" s="129"/>
      <c r="S74" s="111" t="str">
        <f>IF(SUM(D74:R74)&gt;0,SUM(D74:R74)/'Expenses Summary'!$F28,"")</f>
        <v/>
      </c>
    </row>
    <row r="75" spans="1:19" s="31" customFormat="1" x14ac:dyDescent="0.2">
      <c r="A75" s="36"/>
      <c r="B75" s="67" t="str">
        <f>'Expenses Summary'!B29</f>
        <v>2910</v>
      </c>
      <c r="C75" s="67" t="str">
        <f>'Expenses Summary'!C29</f>
        <v>Other Classified Overtime</v>
      </c>
      <c r="D75" s="64">
        <f>IF('Expenses Summary'!$F29="","",IF('Cash Flow %s Yr3'!D75="","",'Cash Flow %s Yr3'!D75*'Expenses Summary'!$F29))</f>
        <v>0</v>
      </c>
      <c r="E75" s="64">
        <f>IF('Expenses Summary'!$F29="","",IF('Cash Flow %s Yr3'!E75="","",'Cash Flow %s Yr3'!E75*'Expenses Summary'!$F29))</f>
        <v>0</v>
      </c>
      <c r="F75" s="64">
        <f>IF('Expenses Summary'!$F29="","",IF('Cash Flow %s Yr3'!F75="","",'Cash Flow %s Yr3'!F75*'Expenses Summary'!$F29))</f>
        <v>0</v>
      </c>
      <c r="G75" s="64">
        <f>IF('Expenses Summary'!$F29="","",IF('Cash Flow %s Yr3'!G75="","",'Cash Flow %s Yr3'!G75*'Expenses Summary'!$F29))</f>
        <v>0</v>
      </c>
      <c r="H75" s="64">
        <f>IF('Expenses Summary'!$F29="","",IF('Cash Flow %s Yr3'!H75="","",'Cash Flow %s Yr3'!H75*'Expenses Summary'!$F29))</f>
        <v>0</v>
      </c>
      <c r="I75" s="64">
        <f>IF('Expenses Summary'!$F29="","",IF('Cash Flow %s Yr3'!I75="","",'Cash Flow %s Yr3'!I75*'Expenses Summary'!$F29))</f>
        <v>0</v>
      </c>
      <c r="J75" s="64">
        <f>IF('Expenses Summary'!$F29="","",IF('Cash Flow %s Yr3'!J75="","",'Cash Flow %s Yr3'!J75*'Expenses Summary'!$F29))</f>
        <v>0</v>
      </c>
      <c r="K75" s="64">
        <f>IF('Expenses Summary'!$F29="","",IF('Cash Flow %s Yr3'!K75="","",'Cash Flow %s Yr3'!K75*'Expenses Summary'!$F29))</f>
        <v>0</v>
      </c>
      <c r="L75" s="64">
        <f>IF('Expenses Summary'!$F29="","",IF('Cash Flow %s Yr3'!L75="","",'Cash Flow %s Yr3'!L75*'Expenses Summary'!$F29))</f>
        <v>0</v>
      </c>
      <c r="M75" s="64">
        <f>IF('Expenses Summary'!$F29="","",IF('Cash Flow %s Yr3'!M75="","",'Cash Flow %s Yr3'!M75*'Expenses Summary'!$F29))</f>
        <v>0</v>
      </c>
      <c r="N75" s="64">
        <f>IF('Expenses Summary'!$F29="","",IF('Cash Flow %s Yr3'!N75="","",'Cash Flow %s Yr3'!N75*'Expenses Summary'!$F29))</f>
        <v>0</v>
      </c>
      <c r="O75" s="64">
        <f>IF('Expenses Summary'!$F29="","",IF('Cash Flow %s Yr3'!O75="","",'Cash Flow %s Yr3'!O75*'Expenses Summary'!$F29))</f>
        <v>0</v>
      </c>
      <c r="P75" s="129"/>
      <c r="Q75" s="129"/>
      <c r="R75" s="129"/>
      <c r="S75" s="111" t="str">
        <f>IF(SUM(D75:R75)&gt;0,SUM(D75:R75)/'Expenses Summary'!$F29,"")</f>
        <v/>
      </c>
    </row>
    <row r="76" spans="1:19" s="31" customFormat="1" x14ac:dyDescent="0.2">
      <c r="A76" s="36"/>
      <c r="B76" s="43" t="s">
        <v>738</v>
      </c>
      <c r="C76" s="34" t="s">
        <v>721</v>
      </c>
      <c r="D76" s="172" t="str">
        <f t="shared" ref="D76:I76" si="6">IF(SUM(D65:D75)&gt;0,SUM(D65:D75),"")</f>
        <v/>
      </c>
      <c r="E76" s="172" t="str">
        <f t="shared" si="6"/>
        <v/>
      </c>
      <c r="F76" s="172">
        <f t="shared" si="6"/>
        <v>11156.960000000003</v>
      </c>
      <c r="G76" s="172">
        <f t="shared" si="6"/>
        <v>11156.960000000003</v>
      </c>
      <c r="H76" s="172">
        <f t="shared" si="6"/>
        <v>11156.960000000003</v>
      </c>
      <c r="I76" s="172">
        <f t="shared" si="6"/>
        <v>11156.960000000003</v>
      </c>
      <c r="J76" s="172">
        <f t="shared" ref="J76:O76" si="7">IF(SUM(J65:J75)&gt;0,SUM(J65:J75),"")</f>
        <v>11156.960000000003</v>
      </c>
      <c r="K76" s="172">
        <f t="shared" si="7"/>
        <v>11156.960000000003</v>
      </c>
      <c r="L76" s="172">
        <f t="shared" si="7"/>
        <v>11156.960000000003</v>
      </c>
      <c r="M76" s="172">
        <f t="shared" si="7"/>
        <v>11156.960000000003</v>
      </c>
      <c r="N76" s="172">
        <f t="shared" si="7"/>
        <v>11156.960000000003</v>
      </c>
      <c r="O76" s="172">
        <f t="shared" si="7"/>
        <v>11156.960000000003</v>
      </c>
      <c r="P76" s="100"/>
      <c r="Q76" s="100"/>
      <c r="R76" s="100"/>
      <c r="S76" s="107"/>
    </row>
    <row r="77" spans="1:19" s="31" customFormat="1" x14ac:dyDescent="0.2">
      <c r="A77" s="36"/>
      <c r="B77" s="40"/>
      <c r="C77" s="3"/>
      <c r="D77" s="102"/>
      <c r="E77" s="102"/>
      <c r="F77" s="102"/>
      <c r="G77" s="102"/>
      <c r="H77" s="102"/>
      <c r="I77" s="102"/>
      <c r="J77" s="102"/>
      <c r="K77" s="102"/>
      <c r="L77" s="102"/>
      <c r="M77" s="102"/>
      <c r="N77" s="102"/>
      <c r="O77" s="102"/>
      <c r="P77" s="102"/>
      <c r="Q77" s="102"/>
      <c r="R77" s="102"/>
    </row>
    <row r="78" spans="1:19" s="31" customFormat="1" x14ac:dyDescent="0.2">
      <c r="B78" s="34" t="s">
        <v>735</v>
      </c>
      <c r="C78" s="3"/>
      <c r="D78" s="102"/>
      <c r="E78" s="102"/>
      <c r="F78" s="102"/>
      <c r="G78" s="102"/>
      <c r="H78" s="102"/>
      <c r="I78" s="102"/>
      <c r="J78" s="102"/>
      <c r="K78" s="102"/>
      <c r="L78" s="102"/>
      <c r="M78" s="102"/>
      <c r="N78" s="102"/>
      <c r="O78" s="102"/>
      <c r="P78" s="102"/>
      <c r="Q78" s="102"/>
      <c r="R78" s="102"/>
    </row>
    <row r="79" spans="1:19" s="31" customFormat="1" x14ac:dyDescent="0.2">
      <c r="A79" s="36"/>
      <c r="B79" s="67" t="str">
        <f>'Expenses Summary'!B33</f>
        <v>3101</v>
      </c>
      <c r="C79" s="67" t="str">
        <f>'Expenses Summary'!C33</f>
        <v>State Teachers' Retirement System, certificated positions</v>
      </c>
      <c r="D79" s="64">
        <f>IF('Expenses Summary'!$F33="","",IF('Cash Flow %s Yr3'!D79="","",'Cash Flow %s Yr3'!D79*'Expenses Summary'!$F33))</f>
        <v>3777.5763003420006</v>
      </c>
      <c r="E79" s="64">
        <f>IF('Expenses Summary'!$F33="","",IF('Cash Flow %s Yr3'!E79="","",'Cash Flow %s Yr3'!E79*'Expenses Summary'!$F33))</f>
        <v>3777.5763003420006</v>
      </c>
      <c r="F79" s="64">
        <f>IF('Expenses Summary'!$F33="","",IF('Cash Flow %s Yr3'!F79="","",'Cash Flow %s Yr3'!F79*'Expenses Summary'!$F33))</f>
        <v>3777.5763003420006</v>
      </c>
      <c r="G79" s="64">
        <f>IF('Expenses Summary'!$F33="","",IF('Cash Flow %s Yr3'!G79="","",'Cash Flow %s Yr3'!G79*'Expenses Summary'!$F33))</f>
        <v>3777.5763003420006</v>
      </c>
      <c r="H79" s="64">
        <f>IF('Expenses Summary'!$F33="","",IF('Cash Flow %s Yr3'!H79="","",'Cash Flow %s Yr3'!H79*'Expenses Summary'!$F33))</f>
        <v>3777.5763003420006</v>
      </c>
      <c r="I79" s="64">
        <f>IF('Expenses Summary'!$F33="","",IF('Cash Flow %s Yr3'!I79="","",'Cash Flow %s Yr3'!I79*'Expenses Summary'!$F33))</f>
        <v>3777.5763003420006</v>
      </c>
      <c r="J79" s="64">
        <f>IF('Expenses Summary'!$F33="","",IF('Cash Flow %s Yr3'!J79="","",'Cash Flow %s Yr3'!J79*'Expenses Summary'!$F33))</f>
        <v>3777.5763003420006</v>
      </c>
      <c r="K79" s="64">
        <f>IF('Expenses Summary'!$F33="","",IF('Cash Flow %s Yr3'!K79="","",'Cash Flow %s Yr3'!K79*'Expenses Summary'!$F33))</f>
        <v>3777.5763003420006</v>
      </c>
      <c r="L79" s="64">
        <f>IF('Expenses Summary'!$F33="","",IF('Cash Flow %s Yr3'!L79="","",'Cash Flow %s Yr3'!L79*'Expenses Summary'!$F33))</f>
        <v>3823.0892678160008</v>
      </c>
      <c r="M79" s="64">
        <f>IF('Expenses Summary'!$F33="","",IF('Cash Flow %s Yr3'!M79="","",'Cash Flow %s Yr3'!M79*'Expenses Summary'!$F33))</f>
        <v>3823.0892678160008</v>
      </c>
      <c r="N79" s="64">
        <f>IF('Expenses Summary'!$F33="","",IF('Cash Flow %s Yr3'!N79="","",'Cash Flow %s Yr3'!N79*'Expenses Summary'!$F33))</f>
        <v>3823.0892678160008</v>
      </c>
      <c r="O79" s="64">
        <f>IF('Expenses Summary'!$F33="","",IF('Cash Flow %s Yr3'!O79="","",'Cash Flow %s Yr3'!O79*'Expenses Summary'!$F33))</f>
        <v>3823.0892678160008</v>
      </c>
      <c r="P79" s="129"/>
      <c r="Q79" s="129"/>
      <c r="R79" s="129"/>
      <c r="S79" s="111">
        <f>IF(SUM(D79:R79)&gt;0,SUM(D79:R79)/'Expenses Summary'!$F33,"")</f>
        <v>1</v>
      </c>
    </row>
    <row r="80" spans="1:19" s="31" customFormat="1" x14ac:dyDescent="0.2">
      <c r="A80" s="36"/>
      <c r="B80" s="67" t="str">
        <f>'Expenses Summary'!B34</f>
        <v>3202</v>
      </c>
      <c r="C80" s="67" t="str">
        <f>'Expenses Summary'!C34</f>
        <v>Public Employees' Retirement System, classified positions</v>
      </c>
      <c r="D80" s="64">
        <f>IF('Expenses Summary'!$F34="","",IF('Cash Flow %s Yr3'!D80="","",'Cash Flow %s Yr3'!D80*'Expenses Summary'!$F34))</f>
        <v>0</v>
      </c>
      <c r="E80" s="64">
        <f>IF('Expenses Summary'!$F34="","",IF('Cash Flow %s Yr3'!E80="","",'Cash Flow %s Yr3'!E80*'Expenses Summary'!$F34))</f>
        <v>0</v>
      </c>
      <c r="F80" s="64">
        <f>IF('Expenses Summary'!$F34="","",IF('Cash Flow %s Yr3'!F80="","",'Cash Flow %s Yr3'!F80*'Expenses Summary'!$F34))</f>
        <v>0</v>
      </c>
      <c r="G80" s="64">
        <f>IF('Expenses Summary'!$F34="","",IF('Cash Flow %s Yr3'!G80="","",'Cash Flow %s Yr3'!G80*'Expenses Summary'!$F34))</f>
        <v>0</v>
      </c>
      <c r="H80" s="64">
        <f>IF('Expenses Summary'!$F34="","",IF('Cash Flow %s Yr3'!H80="","",'Cash Flow %s Yr3'!H80*'Expenses Summary'!$F34))</f>
        <v>0</v>
      </c>
      <c r="I80" s="64">
        <f>IF('Expenses Summary'!$F34="","",IF('Cash Flow %s Yr3'!I80="","",'Cash Flow %s Yr3'!I80*'Expenses Summary'!$F34))</f>
        <v>0</v>
      </c>
      <c r="J80" s="64">
        <f>IF('Expenses Summary'!$F34="","",IF('Cash Flow %s Yr3'!J80="","",'Cash Flow %s Yr3'!J80*'Expenses Summary'!$F34))</f>
        <v>0</v>
      </c>
      <c r="K80" s="64">
        <f>IF('Expenses Summary'!$F34="","",IF('Cash Flow %s Yr3'!K80="","",'Cash Flow %s Yr3'!K80*'Expenses Summary'!$F34))</f>
        <v>0</v>
      </c>
      <c r="L80" s="64">
        <f>IF('Expenses Summary'!$F34="","",IF('Cash Flow %s Yr3'!L80="","",'Cash Flow %s Yr3'!L80*'Expenses Summary'!$F34))</f>
        <v>0</v>
      </c>
      <c r="M80" s="64">
        <f>IF('Expenses Summary'!$F34="","",IF('Cash Flow %s Yr3'!M80="","",'Cash Flow %s Yr3'!M80*'Expenses Summary'!$F34))</f>
        <v>0</v>
      </c>
      <c r="N80" s="64">
        <f>IF('Expenses Summary'!$F34="","",IF('Cash Flow %s Yr3'!N80="","",'Cash Flow %s Yr3'!N80*'Expenses Summary'!$F34))</f>
        <v>0</v>
      </c>
      <c r="O80" s="64">
        <f>IF('Expenses Summary'!$F34="","",IF('Cash Flow %s Yr3'!O80="","",'Cash Flow %s Yr3'!O80*'Expenses Summary'!$F34))</f>
        <v>0</v>
      </c>
      <c r="P80" s="129"/>
      <c r="Q80" s="129"/>
      <c r="R80" s="129"/>
      <c r="S80" s="111" t="str">
        <f>IF(SUM(D80:R80)&gt;0,SUM(D80:R80)/'Expenses Summary'!$F34,"")</f>
        <v/>
      </c>
    </row>
    <row r="81" spans="1:19" s="31" customFormat="1" x14ac:dyDescent="0.2">
      <c r="A81" s="36"/>
      <c r="B81" s="67" t="str">
        <f>'Expenses Summary'!B35</f>
        <v>3313</v>
      </c>
      <c r="C81" s="67" t="str">
        <f>'Expenses Summary'!C35</f>
        <v>OASDI</v>
      </c>
      <c r="D81" s="64">
        <f>IF('Expenses Summary'!$F35="","",IF('Cash Flow %s Yr3'!D81="","",'Cash Flow %s Yr3'!D81*'Expenses Summary'!$F35))</f>
        <v>578.76730000000009</v>
      </c>
      <c r="E81" s="64">
        <f>IF('Expenses Summary'!$F35="","",IF('Cash Flow %s Yr3'!E81="","",'Cash Flow %s Yr3'!E81*'Expenses Summary'!$F35))</f>
        <v>578.76730000000009</v>
      </c>
      <c r="F81" s="64">
        <f>IF('Expenses Summary'!$F35="","",IF('Cash Flow %s Yr3'!F81="","",'Cash Flow %s Yr3'!F81*'Expenses Summary'!$F35))</f>
        <v>578.76730000000009</v>
      </c>
      <c r="G81" s="64">
        <f>IF('Expenses Summary'!$F35="","",IF('Cash Flow %s Yr3'!G81="","",'Cash Flow %s Yr3'!G81*'Expenses Summary'!$F35))</f>
        <v>578.76730000000009</v>
      </c>
      <c r="H81" s="64">
        <f>IF('Expenses Summary'!$F35="","",IF('Cash Flow %s Yr3'!H81="","",'Cash Flow %s Yr3'!H81*'Expenses Summary'!$F35))</f>
        <v>578.76730000000009</v>
      </c>
      <c r="I81" s="64">
        <f>IF('Expenses Summary'!$F35="","",IF('Cash Flow %s Yr3'!I81="","",'Cash Flow %s Yr3'!I81*'Expenses Summary'!$F35))</f>
        <v>578.76730000000009</v>
      </c>
      <c r="J81" s="64">
        <f>IF('Expenses Summary'!$F35="","",IF('Cash Flow %s Yr3'!J81="","",'Cash Flow %s Yr3'!J81*'Expenses Summary'!$F35))</f>
        <v>578.76730000000009</v>
      </c>
      <c r="K81" s="64">
        <f>IF('Expenses Summary'!$F35="","",IF('Cash Flow %s Yr3'!K81="","",'Cash Flow %s Yr3'!K81*'Expenses Summary'!$F35))</f>
        <v>578.76730000000009</v>
      </c>
      <c r="L81" s="64">
        <f>IF('Expenses Summary'!$F35="","",IF('Cash Flow %s Yr3'!L81="","",'Cash Flow %s Yr3'!L81*'Expenses Summary'!$F35))</f>
        <v>585.74040000000002</v>
      </c>
      <c r="M81" s="64">
        <f>IF('Expenses Summary'!$F35="","",IF('Cash Flow %s Yr3'!M81="","",'Cash Flow %s Yr3'!M81*'Expenses Summary'!$F35))</f>
        <v>585.74040000000002</v>
      </c>
      <c r="N81" s="64">
        <f>IF('Expenses Summary'!$F35="","",IF('Cash Flow %s Yr3'!N81="","",'Cash Flow %s Yr3'!N81*'Expenses Summary'!$F35))</f>
        <v>585.74040000000002</v>
      </c>
      <c r="O81" s="64">
        <f>IF('Expenses Summary'!$F35="","",IF('Cash Flow %s Yr3'!O81="","",'Cash Flow %s Yr3'!O81*'Expenses Summary'!$F35))</f>
        <v>585.74040000000002</v>
      </c>
      <c r="P81" s="129"/>
      <c r="Q81" s="129"/>
      <c r="R81" s="129"/>
      <c r="S81" s="111">
        <f>IF(SUM(D81:R81)&gt;0,SUM(D81:R81)/'Expenses Summary'!$F35,"")</f>
        <v>0.99999999999999989</v>
      </c>
    </row>
    <row r="82" spans="1:19" s="31" customFormat="1" x14ac:dyDescent="0.2">
      <c r="A82" s="36"/>
      <c r="B82" s="67" t="str">
        <f>'Expenses Summary'!B36</f>
        <v>3323</v>
      </c>
      <c r="C82" s="67" t="str">
        <f>'Expenses Summary'!C36</f>
        <v>Medicare</v>
      </c>
      <c r="D82" s="64">
        <f>IF('Expenses Summary'!$F36="","",IF('Cash Flow %s Yr3'!D82="","",'Cash Flow %s Yr3'!D82*'Expenses Summary'!$F36))</f>
        <v>513.86414773000013</v>
      </c>
      <c r="E82" s="64">
        <f>IF('Expenses Summary'!$F36="","",IF('Cash Flow %s Yr3'!E82="","",'Cash Flow %s Yr3'!E82*'Expenses Summary'!$F36))</f>
        <v>513.86414773000013</v>
      </c>
      <c r="F82" s="64">
        <f>IF('Expenses Summary'!$F36="","",IF('Cash Flow %s Yr3'!F82="","",'Cash Flow %s Yr3'!F82*'Expenses Summary'!$F36))</f>
        <v>513.86414773000013</v>
      </c>
      <c r="G82" s="64">
        <f>IF('Expenses Summary'!$F36="","",IF('Cash Flow %s Yr3'!G82="","",'Cash Flow %s Yr3'!G82*'Expenses Summary'!$F36))</f>
        <v>513.86414773000013</v>
      </c>
      <c r="H82" s="64">
        <f>IF('Expenses Summary'!$F36="","",IF('Cash Flow %s Yr3'!H82="","",'Cash Flow %s Yr3'!H82*'Expenses Summary'!$F36))</f>
        <v>513.86414773000013</v>
      </c>
      <c r="I82" s="64">
        <f>IF('Expenses Summary'!$F36="","",IF('Cash Flow %s Yr3'!I82="","",'Cash Flow %s Yr3'!I82*'Expenses Summary'!$F36))</f>
        <v>513.86414773000013</v>
      </c>
      <c r="J82" s="64">
        <f>IF('Expenses Summary'!$F36="","",IF('Cash Flow %s Yr3'!J82="","",'Cash Flow %s Yr3'!J82*'Expenses Summary'!$F36))</f>
        <v>513.86414773000013</v>
      </c>
      <c r="K82" s="64">
        <f>IF('Expenses Summary'!$F36="","",IF('Cash Flow %s Yr3'!K82="","",'Cash Flow %s Yr3'!K82*'Expenses Summary'!$F36))</f>
        <v>513.86414773000013</v>
      </c>
      <c r="L82" s="64">
        <f>IF('Expenses Summary'!$F36="","",IF('Cash Flow %s Yr3'!L82="","",'Cash Flow %s Yr3'!L82*'Expenses Summary'!$F36))</f>
        <v>520.05528204000018</v>
      </c>
      <c r="M82" s="64">
        <f>IF('Expenses Summary'!$F36="","",IF('Cash Flow %s Yr3'!M82="","",'Cash Flow %s Yr3'!M82*'Expenses Summary'!$F36))</f>
        <v>520.05528204000018</v>
      </c>
      <c r="N82" s="64">
        <f>IF('Expenses Summary'!$F36="","",IF('Cash Flow %s Yr3'!N82="","",'Cash Flow %s Yr3'!N82*'Expenses Summary'!$F36))</f>
        <v>520.05528204000018</v>
      </c>
      <c r="O82" s="64">
        <f>IF('Expenses Summary'!$F36="","",IF('Cash Flow %s Yr3'!O82="","",'Cash Flow %s Yr3'!O82*'Expenses Summary'!$F36))</f>
        <v>520.05528204000018</v>
      </c>
      <c r="P82" s="129"/>
      <c r="Q82" s="129"/>
      <c r="R82" s="129"/>
      <c r="S82" s="111">
        <f>IF(SUM(D82:R82)&gt;0,SUM(D82:R82)/'Expenses Summary'!$F36,"")</f>
        <v>0.99999999999999989</v>
      </c>
    </row>
    <row r="83" spans="1:19" s="31" customFormat="1" x14ac:dyDescent="0.2">
      <c r="A83" s="36"/>
      <c r="B83" s="67" t="str">
        <f>'Expenses Summary'!B37</f>
        <v>3403</v>
      </c>
      <c r="C83" s="67" t="str">
        <f>'Expenses Summary'!C37</f>
        <v>Health &amp; Welfare Benefits</v>
      </c>
      <c r="D83" s="64">
        <f>IF('Expenses Summary'!$F37="","",IF('Cash Flow %s Yr3'!D83="","",'Cash Flow %s Yr3'!D83*'Expenses Summary'!$F37))</f>
        <v>6723</v>
      </c>
      <c r="E83" s="64">
        <f>IF('Expenses Summary'!$F37="","",IF('Cash Flow %s Yr3'!E83="","",'Cash Flow %s Yr3'!E83*'Expenses Summary'!$F37))</f>
        <v>6723</v>
      </c>
      <c r="F83" s="64">
        <f>IF('Expenses Summary'!$F37="","",IF('Cash Flow %s Yr3'!F83="","",'Cash Flow %s Yr3'!F83*'Expenses Summary'!$F37))</f>
        <v>6723</v>
      </c>
      <c r="G83" s="64">
        <f>IF('Expenses Summary'!$F37="","",IF('Cash Flow %s Yr3'!G83="","",'Cash Flow %s Yr3'!G83*'Expenses Summary'!$F37))</f>
        <v>6723</v>
      </c>
      <c r="H83" s="64">
        <f>IF('Expenses Summary'!$F37="","",IF('Cash Flow %s Yr3'!H83="","",'Cash Flow %s Yr3'!H83*'Expenses Summary'!$F37))</f>
        <v>6723</v>
      </c>
      <c r="I83" s="64">
        <f>IF('Expenses Summary'!$F37="","",IF('Cash Flow %s Yr3'!I83="","",'Cash Flow %s Yr3'!I83*'Expenses Summary'!$F37))</f>
        <v>6723</v>
      </c>
      <c r="J83" s="64">
        <f>IF('Expenses Summary'!$F37="","",IF('Cash Flow %s Yr3'!J83="","",'Cash Flow %s Yr3'!J83*'Expenses Summary'!$F37))</f>
        <v>6723</v>
      </c>
      <c r="K83" s="64">
        <f>IF('Expenses Summary'!$F37="","",IF('Cash Flow %s Yr3'!K83="","",'Cash Flow %s Yr3'!K83*'Expenses Summary'!$F37))</f>
        <v>6723</v>
      </c>
      <c r="L83" s="64">
        <f>IF('Expenses Summary'!$F37="","",IF('Cash Flow %s Yr3'!L83="","",'Cash Flow %s Yr3'!L83*'Expenses Summary'!$F37))</f>
        <v>6804</v>
      </c>
      <c r="M83" s="64">
        <f>IF('Expenses Summary'!$F37="","",IF('Cash Flow %s Yr3'!M83="","",'Cash Flow %s Yr3'!M83*'Expenses Summary'!$F37))</f>
        <v>6804</v>
      </c>
      <c r="N83" s="64">
        <f>IF('Expenses Summary'!$F37="","",IF('Cash Flow %s Yr3'!N83="","",'Cash Flow %s Yr3'!N83*'Expenses Summary'!$F37))</f>
        <v>6804</v>
      </c>
      <c r="O83" s="64">
        <f>IF('Expenses Summary'!$F37="","",IF('Cash Flow %s Yr3'!O83="","",'Cash Flow %s Yr3'!O83*'Expenses Summary'!$F37))</f>
        <v>6804</v>
      </c>
      <c r="P83" s="129"/>
      <c r="Q83" s="129"/>
      <c r="R83" s="129"/>
      <c r="S83" s="111">
        <f>IF(SUM(D83:R83)&gt;0,SUM(D83:R83)/'Expenses Summary'!$F37,"")</f>
        <v>1</v>
      </c>
    </row>
    <row r="84" spans="1:19" s="31" customFormat="1" x14ac:dyDescent="0.2">
      <c r="A84" s="36"/>
      <c r="B84" s="67" t="str">
        <f>'Expenses Summary'!B38</f>
        <v>3503</v>
      </c>
      <c r="C84" s="67" t="str">
        <f>'Expenses Summary'!C38</f>
        <v>State Unemployment Insurance</v>
      </c>
      <c r="D84" s="64">
        <f>IF('Expenses Summary'!$F38="","",IF('Cash Flow %s Yr3'!D84="","",'Cash Flow %s Yr3'!D84*'Expenses Summary'!$F38))</f>
        <v>708.77813480000009</v>
      </c>
      <c r="E84" s="64">
        <f>IF('Expenses Summary'!$F38="","",IF('Cash Flow %s Yr3'!E84="","",'Cash Flow %s Yr3'!E84*'Expenses Summary'!$F38))</f>
        <v>708.77813480000009</v>
      </c>
      <c r="F84" s="64">
        <f>IF('Expenses Summary'!$F38="","",IF('Cash Flow %s Yr3'!F84="","",'Cash Flow %s Yr3'!F84*'Expenses Summary'!$F38))</f>
        <v>708.77813480000009</v>
      </c>
      <c r="G84" s="64">
        <f>IF('Expenses Summary'!$F38="","",IF('Cash Flow %s Yr3'!G84="","",'Cash Flow %s Yr3'!G84*'Expenses Summary'!$F38))</f>
        <v>708.77813480000009</v>
      </c>
      <c r="H84" s="64">
        <f>IF('Expenses Summary'!$F38="","",IF('Cash Flow %s Yr3'!H84="","",'Cash Flow %s Yr3'!H84*'Expenses Summary'!$F38))</f>
        <v>708.77813480000009</v>
      </c>
      <c r="I84" s="64">
        <f>IF('Expenses Summary'!$F38="","",IF('Cash Flow %s Yr3'!I84="","",'Cash Flow %s Yr3'!I84*'Expenses Summary'!$F38))</f>
        <v>708.77813480000009</v>
      </c>
      <c r="J84" s="64">
        <f>IF('Expenses Summary'!$F38="","",IF('Cash Flow %s Yr3'!J84="","",'Cash Flow %s Yr3'!J84*'Expenses Summary'!$F38))</f>
        <v>708.77813480000009</v>
      </c>
      <c r="K84" s="64">
        <f>IF('Expenses Summary'!$F38="","",IF('Cash Flow %s Yr3'!K84="","",'Cash Flow %s Yr3'!K84*'Expenses Summary'!$F38))</f>
        <v>708.77813480000009</v>
      </c>
      <c r="L84" s="64">
        <f>IF('Expenses Summary'!$F38="","",IF('Cash Flow %s Yr3'!L84="","",'Cash Flow %s Yr3'!L84*'Expenses Summary'!$F38))</f>
        <v>717.3176304000001</v>
      </c>
      <c r="M84" s="64">
        <f>IF('Expenses Summary'!$F38="","",IF('Cash Flow %s Yr3'!M84="","",'Cash Flow %s Yr3'!M84*'Expenses Summary'!$F38))</f>
        <v>717.3176304000001</v>
      </c>
      <c r="N84" s="64">
        <f>IF('Expenses Summary'!$F38="","",IF('Cash Flow %s Yr3'!N84="","",'Cash Flow %s Yr3'!N84*'Expenses Summary'!$F38))</f>
        <v>717.3176304000001</v>
      </c>
      <c r="O84" s="64">
        <f>IF('Expenses Summary'!$F38="","",IF('Cash Flow %s Yr3'!O84="","",'Cash Flow %s Yr3'!O84*'Expenses Summary'!$F38))</f>
        <v>717.3176304000001</v>
      </c>
      <c r="P84" s="129"/>
      <c r="Q84" s="129"/>
      <c r="R84" s="129"/>
      <c r="S84" s="111">
        <f>IF(SUM(D84:R84)&gt;0,SUM(D84:R84)/'Expenses Summary'!$F38,"")</f>
        <v>1</v>
      </c>
    </row>
    <row r="85" spans="1:19" s="31" customFormat="1" x14ac:dyDescent="0.2">
      <c r="A85" s="36"/>
      <c r="B85" s="67" t="str">
        <f>'Expenses Summary'!B39</f>
        <v>3603</v>
      </c>
      <c r="C85" s="67" t="str">
        <f>'Expenses Summary'!C39</f>
        <v>Worker Compensation Insurance</v>
      </c>
      <c r="D85" s="64">
        <f>IF('Expenses Summary'!$F39="","",IF('Cash Flow %s Yr3'!D85="","",'Cash Flow %s Yr3'!D85*'Expenses Summary'!$F39))</f>
        <v>425.26688088000003</v>
      </c>
      <c r="E85" s="64">
        <f>IF('Expenses Summary'!$F39="","",IF('Cash Flow %s Yr3'!E85="","",'Cash Flow %s Yr3'!E85*'Expenses Summary'!$F39))</f>
        <v>425.26688088000003</v>
      </c>
      <c r="F85" s="64">
        <f>IF('Expenses Summary'!$F39="","",IF('Cash Flow %s Yr3'!F85="","",'Cash Flow %s Yr3'!F85*'Expenses Summary'!$F39))</f>
        <v>425.26688088000003</v>
      </c>
      <c r="G85" s="64">
        <f>IF('Expenses Summary'!$F39="","",IF('Cash Flow %s Yr3'!G85="","",'Cash Flow %s Yr3'!G85*'Expenses Summary'!$F39))</f>
        <v>425.26688088000003</v>
      </c>
      <c r="H85" s="64">
        <f>IF('Expenses Summary'!$F39="","",IF('Cash Flow %s Yr3'!H85="","",'Cash Flow %s Yr3'!H85*'Expenses Summary'!$F39))</f>
        <v>425.26688088000003</v>
      </c>
      <c r="I85" s="64">
        <f>IF('Expenses Summary'!$F39="","",IF('Cash Flow %s Yr3'!I85="","",'Cash Flow %s Yr3'!I85*'Expenses Summary'!$F39))</f>
        <v>425.26688088000003</v>
      </c>
      <c r="J85" s="64">
        <f>IF('Expenses Summary'!$F39="","",IF('Cash Flow %s Yr3'!J85="","",'Cash Flow %s Yr3'!J85*'Expenses Summary'!$F39))</f>
        <v>425.26688088000003</v>
      </c>
      <c r="K85" s="64">
        <f>IF('Expenses Summary'!$F39="","",IF('Cash Flow %s Yr3'!K85="","",'Cash Flow %s Yr3'!K85*'Expenses Summary'!$F39))</f>
        <v>425.26688088000003</v>
      </c>
      <c r="L85" s="64">
        <f>IF('Expenses Summary'!$F39="","",IF('Cash Flow %s Yr3'!L85="","",'Cash Flow %s Yr3'!L85*'Expenses Summary'!$F39))</f>
        <v>430.39057824000002</v>
      </c>
      <c r="M85" s="64">
        <f>IF('Expenses Summary'!$F39="","",IF('Cash Flow %s Yr3'!M85="","",'Cash Flow %s Yr3'!M85*'Expenses Summary'!$F39))</f>
        <v>430.39057824000002</v>
      </c>
      <c r="N85" s="64">
        <f>IF('Expenses Summary'!$F39="","",IF('Cash Flow %s Yr3'!N85="","",'Cash Flow %s Yr3'!N85*'Expenses Summary'!$F39))</f>
        <v>430.39057824000002</v>
      </c>
      <c r="O85" s="64">
        <f>IF('Expenses Summary'!$F39="","",IF('Cash Flow %s Yr3'!O85="","",'Cash Flow %s Yr3'!O85*'Expenses Summary'!$F39))</f>
        <v>430.39057824000002</v>
      </c>
      <c r="P85" s="129"/>
      <c r="Q85" s="129"/>
      <c r="R85" s="129"/>
      <c r="S85" s="111">
        <f>IF(SUM(D85:R85)&gt;0,SUM(D85:R85)/'Expenses Summary'!$F39,"")</f>
        <v>0.99999999999999978</v>
      </c>
    </row>
    <row r="86" spans="1:19" s="31" customFormat="1" x14ac:dyDescent="0.2">
      <c r="A86" s="36"/>
      <c r="B86" s="67" t="str">
        <f>'Expenses Summary'!B40</f>
        <v>3703</v>
      </c>
      <c r="C86" s="67" t="str">
        <f>'Expenses Summary'!C40</f>
        <v>Other Post Employement Benefits</v>
      </c>
      <c r="D86" s="64">
        <f>IF('Expenses Summary'!$F40="","",IF('Cash Flow %s Yr3'!D86="","",'Cash Flow %s Yr3'!D86*'Expenses Summary'!$F40))</f>
        <v>0</v>
      </c>
      <c r="E86" s="64">
        <f>IF('Expenses Summary'!$F40="","",IF('Cash Flow %s Yr3'!E86="","",'Cash Flow %s Yr3'!E86*'Expenses Summary'!$F40))</f>
        <v>0</v>
      </c>
      <c r="F86" s="64">
        <f>IF('Expenses Summary'!$F40="","",IF('Cash Flow %s Yr3'!F86="","",'Cash Flow %s Yr3'!F86*'Expenses Summary'!$F40))</f>
        <v>0</v>
      </c>
      <c r="G86" s="64">
        <f>IF('Expenses Summary'!$F40="","",IF('Cash Flow %s Yr3'!G86="","",'Cash Flow %s Yr3'!G86*'Expenses Summary'!$F40))</f>
        <v>0</v>
      </c>
      <c r="H86" s="64">
        <f>IF('Expenses Summary'!$F40="","",IF('Cash Flow %s Yr3'!H86="","",'Cash Flow %s Yr3'!H86*'Expenses Summary'!$F40))</f>
        <v>0</v>
      </c>
      <c r="I86" s="64">
        <f>IF('Expenses Summary'!$F40="","",IF('Cash Flow %s Yr3'!I86="","",'Cash Flow %s Yr3'!I86*'Expenses Summary'!$F40))</f>
        <v>0</v>
      </c>
      <c r="J86" s="64">
        <f>IF('Expenses Summary'!$F40="","",IF('Cash Flow %s Yr3'!J86="","",'Cash Flow %s Yr3'!J86*'Expenses Summary'!$F40))</f>
        <v>0</v>
      </c>
      <c r="K86" s="64">
        <f>IF('Expenses Summary'!$F40="","",IF('Cash Flow %s Yr3'!K86="","",'Cash Flow %s Yr3'!K86*'Expenses Summary'!$F40))</f>
        <v>0</v>
      </c>
      <c r="L86" s="64">
        <f>IF('Expenses Summary'!$F40="","",IF('Cash Flow %s Yr3'!L86="","",'Cash Flow %s Yr3'!L86*'Expenses Summary'!$F40))</f>
        <v>0</v>
      </c>
      <c r="M86" s="64">
        <f>IF('Expenses Summary'!$F40="","",IF('Cash Flow %s Yr3'!M86="","",'Cash Flow %s Yr3'!M86*'Expenses Summary'!$F40))</f>
        <v>0</v>
      </c>
      <c r="N86" s="64">
        <f>IF('Expenses Summary'!$F40="","",IF('Cash Flow %s Yr3'!N86="","",'Cash Flow %s Yr3'!N86*'Expenses Summary'!$F40))</f>
        <v>0</v>
      </c>
      <c r="O86" s="64">
        <f>IF('Expenses Summary'!$F40="","",IF('Cash Flow %s Yr3'!O86="","",'Cash Flow %s Yr3'!O86*'Expenses Summary'!$F40))</f>
        <v>0</v>
      </c>
      <c r="P86" s="129"/>
      <c r="Q86" s="129"/>
      <c r="R86" s="129"/>
      <c r="S86" s="111" t="str">
        <f>IF(SUM(D86:R86)&gt;0,SUM(D86:R86)/'Expenses Summary'!$F40,"")</f>
        <v/>
      </c>
    </row>
    <row r="87" spans="1:19" s="31" customFormat="1" x14ac:dyDescent="0.2">
      <c r="A87" s="36"/>
      <c r="B87" s="67" t="str">
        <f>'Expenses Summary'!B41</f>
        <v>3903</v>
      </c>
      <c r="C87" s="67" t="str">
        <f>'Expenses Summary'!C41</f>
        <v>Other Benefits</v>
      </c>
      <c r="D87" s="64">
        <f>IF('Expenses Summary'!$F41="","",IF('Cash Flow %s Yr3'!D87="","",'Cash Flow %s Yr3'!D87*'Expenses Summary'!$F41))</f>
        <v>0</v>
      </c>
      <c r="E87" s="64">
        <f>IF('Expenses Summary'!$F41="","",IF('Cash Flow %s Yr3'!E87="","",'Cash Flow %s Yr3'!E87*'Expenses Summary'!$F41))</f>
        <v>0</v>
      </c>
      <c r="F87" s="64">
        <f>IF('Expenses Summary'!$F41="","",IF('Cash Flow %s Yr3'!F87="","",'Cash Flow %s Yr3'!F87*'Expenses Summary'!$F41))</f>
        <v>0</v>
      </c>
      <c r="G87" s="64">
        <f>IF('Expenses Summary'!$F41="","",IF('Cash Flow %s Yr3'!G87="","",'Cash Flow %s Yr3'!G87*'Expenses Summary'!$F41))</f>
        <v>0</v>
      </c>
      <c r="H87" s="64">
        <f>IF('Expenses Summary'!$F41="","",IF('Cash Flow %s Yr3'!H87="","",'Cash Flow %s Yr3'!H87*'Expenses Summary'!$F41))</f>
        <v>0</v>
      </c>
      <c r="I87" s="64">
        <f>IF('Expenses Summary'!$F41="","",IF('Cash Flow %s Yr3'!I87="","",'Cash Flow %s Yr3'!I87*'Expenses Summary'!$F41))</f>
        <v>0</v>
      </c>
      <c r="J87" s="64">
        <f>IF('Expenses Summary'!$F41="","",IF('Cash Flow %s Yr3'!J87="","",'Cash Flow %s Yr3'!J87*'Expenses Summary'!$F41))</f>
        <v>0</v>
      </c>
      <c r="K87" s="64">
        <f>IF('Expenses Summary'!$F41="","",IF('Cash Flow %s Yr3'!K87="","",'Cash Flow %s Yr3'!K87*'Expenses Summary'!$F41))</f>
        <v>0</v>
      </c>
      <c r="L87" s="64">
        <f>IF('Expenses Summary'!$F41="","",IF('Cash Flow %s Yr3'!L87="","",'Cash Flow %s Yr3'!L87*'Expenses Summary'!$F41))</f>
        <v>0</v>
      </c>
      <c r="M87" s="64">
        <f>IF('Expenses Summary'!$F41="","",IF('Cash Flow %s Yr3'!M87="","",'Cash Flow %s Yr3'!M87*'Expenses Summary'!$F41))</f>
        <v>0</v>
      </c>
      <c r="N87" s="64">
        <f>IF('Expenses Summary'!$F41="","",IF('Cash Flow %s Yr3'!N87="","",'Cash Flow %s Yr3'!N87*'Expenses Summary'!$F41))</f>
        <v>0</v>
      </c>
      <c r="O87" s="64">
        <f>IF('Expenses Summary'!$F41="","",IF('Cash Flow %s Yr3'!O87="","",'Cash Flow %s Yr3'!O87*'Expenses Summary'!$F41))</f>
        <v>0</v>
      </c>
      <c r="P87" s="129"/>
      <c r="Q87" s="129"/>
      <c r="R87" s="129"/>
      <c r="S87" s="111" t="str">
        <f>IF(SUM(D87:R87)&gt;0,SUM(D87:R87)/'Expenses Summary'!$F41,"")</f>
        <v/>
      </c>
    </row>
    <row r="88" spans="1:19" s="31" customFormat="1" x14ac:dyDescent="0.2">
      <c r="A88" s="36"/>
      <c r="B88" s="43" t="s">
        <v>739</v>
      </c>
      <c r="C88" s="34" t="s">
        <v>721</v>
      </c>
      <c r="D88" s="172">
        <f t="shared" ref="D88:O88" si="8">IF(SUM(D78:D87)&gt;0,SUM(D78:D87),"")</f>
        <v>12727.252763752002</v>
      </c>
      <c r="E88" s="172">
        <f t="shared" si="8"/>
        <v>12727.252763752002</v>
      </c>
      <c r="F88" s="172">
        <f t="shared" si="8"/>
        <v>12727.252763752002</v>
      </c>
      <c r="G88" s="172">
        <f t="shared" si="8"/>
        <v>12727.252763752002</v>
      </c>
      <c r="H88" s="172">
        <f t="shared" si="8"/>
        <v>12727.252763752002</v>
      </c>
      <c r="I88" s="172">
        <f t="shared" si="8"/>
        <v>12727.252763752002</v>
      </c>
      <c r="J88" s="172">
        <f t="shared" si="8"/>
        <v>12727.252763752002</v>
      </c>
      <c r="K88" s="172">
        <f t="shared" si="8"/>
        <v>12727.252763752002</v>
      </c>
      <c r="L88" s="172">
        <f t="shared" si="8"/>
        <v>12880.593158496002</v>
      </c>
      <c r="M88" s="172">
        <f t="shared" si="8"/>
        <v>12880.593158496002</v>
      </c>
      <c r="N88" s="172">
        <f t="shared" si="8"/>
        <v>12880.593158496002</v>
      </c>
      <c r="O88" s="172">
        <f t="shared" si="8"/>
        <v>12880.593158496002</v>
      </c>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row>
    <row r="90" spans="1:19" s="31" customFormat="1" x14ac:dyDescent="0.2">
      <c r="B90" s="34" t="s">
        <v>678</v>
      </c>
      <c r="C90" s="3"/>
      <c r="D90" s="95"/>
      <c r="E90" s="95"/>
      <c r="F90" s="95"/>
      <c r="G90" s="95"/>
      <c r="H90" s="95"/>
      <c r="I90" s="95"/>
      <c r="J90" s="95"/>
      <c r="K90" s="95"/>
      <c r="L90" s="95"/>
      <c r="M90" s="95"/>
      <c r="N90" s="95"/>
      <c r="O90" s="95"/>
      <c r="P90" s="95"/>
      <c r="Q90" s="95"/>
      <c r="R90" s="95"/>
    </row>
    <row r="91" spans="1:19" s="31" customFormat="1" x14ac:dyDescent="0.2">
      <c r="A91" s="36"/>
      <c r="B91" s="139" t="str">
        <f>'Expenses Summary'!B47</f>
        <v>4100</v>
      </c>
      <c r="C91" s="139" t="str">
        <f>'Expenses Summary'!C47</f>
        <v>Approved Textbooks and Core Curricula Materials</v>
      </c>
      <c r="D91" s="64">
        <f>IF('Expenses Summary'!$F47="","",IF('Cash Flow %s Yr3'!D91="","",'Cash Flow %s Yr3'!D91*'Expenses Summary'!$F47))</f>
        <v>0</v>
      </c>
      <c r="E91" s="64">
        <f>IF('Expenses Summary'!$F47="","",IF('Cash Flow %s Yr3'!E91="","",'Cash Flow %s Yr3'!E91*'Expenses Summary'!$F47))</f>
        <v>0</v>
      </c>
      <c r="F91" s="64">
        <f>IF('Expenses Summary'!$F47="","",IF('Cash Flow %s Yr3'!F91="","",'Cash Flow %s Yr3'!F91*'Expenses Summary'!$F47))</f>
        <v>0</v>
      </c>
      <c r="G91" s="64">
        <f>IF('Expenses Summary'!$F47="","",IF('Cash Flow %s Yr3'!G91="","",'Cash Flow %s Yr3'!G91*'Expenses Summary'!$F47))</f>
        <v>0</v>
      </c>
      <c r="H91" s="64">
        <f>IF('Expenses Summary'!$F47="","",IF('Cash Flow %s Yr3'!H91="","",'Cash Flow %s Yr3'!H91*'Expenses Summary'!$F47))</f>
        <v>7004.8109175</v>
      </c>
      <c r="I91" s="64">
        <f>IF('Expenses Summary'!$F47="","",IF('Cash Flow %s Yr3'!I91="","",'Cash Flow %s Yr3'!I91*'Expenses Summary'!$F47))</f>
        <v>7004.8109175</v>
      </c>
      <c r="J91" s="64">
        <f>IF('Expenses Summary'!$F47="","",IF('Cash Flow %s Yr3'!J91="","",'Cash Flow %s Yr3'!J91*'Expenses Summary'!$F47))</f>
        <v>7004.8109175</v>
      </c>
      <c r="K91" s="64">
        <f>IF('Expenses Summary'!$F47="","",IF('Cash Flow %s Yr3'!K91="","",'Cash Flow %s Yr3'!K91*'Expenses Summary'!$F47))</f>
        <v>0</v>
      </c>
      <c r="L91" s="64">
        <f>IF('Expenses Summary'!$F47="","",IF('Cash Flow %s Yr3'!L91="","",'Cash Flow %s Yr3'!L91*'Expenses Summary'!$F47))</f>
        <v>7004.8109175</v>
      </c>
      <c r="M91" s="64">
        <f>IF('Expenses Summary'!$F47="","",IF('Cash Flow %s Yr3'!M91="","",'Cash Flow %s Yr3'!M91*'Expenses Summary'!$F47))</f>
        <v>0</v>
      </c>
      <c r="N91" s="64">
        <f>IF('Expenses Summary'!$F47="","",IF('Cash Flow %s Yr3'!N91="","",'Cash Flow %s Yr3'!N91*'Expenses Summary'!$F47))</f>
        <v>0</v>
      </c>
      <c r="O91" s="64">
        <f>IF('Expenses Summary'!$F47="","",IF('Cash Flow %s Yr3'!O91="","",'Cash Flow %s Yr3'!O91*'Expenses Summary'!$F47))</f>
        <v>0</v>
      </c>
      <c r="P91" s="129"/>
      <c r="Q91" s="129"/>
      <c r="R91" s="129"/>
      <c r="S91" s="111">
        <f>IF(SUM(D91:R91)&gt;0,SUM(D91:R91)/'Expenses Summary'!$F47,"")</f>
        <v>1</v>
      </c>
    </row>
    <row r="92" spans="1:19" x14ac:dyDescent="0.2">
      <c r="A92" s="36"/>
      <c r="B92" s="139" t="str">
        <f>'Expenses Summary'!B48</f>
        <v>4200</v>
      </c>
      <c r="C92" s="139" t="str">
        <f>'Expenses Summary'!C48</f>
        <v>Books and Other Reference Materials</v>
      </c>
      <c r="D92" s="64">
        <f>IF('Expenses Summary'!$F48="","",IF('Cash Flow %s Yr3'!D92="","",'Cash Flow %s Yr3'!D92*'Expenses Summary'!$F48))</f>
        <v>0</v>
      </c>
      <c r="E92" s="64">
        <f>IF('Expenses Summary'!$F48="","",IF('Cash Flow %s Yr3'!E92="","",'Cash Flow %s Yr3'!E92*'Expenses Summary'!$F48))</f>
        <v>0</v>
      </c>
      <c r="F92" s="64">
        <f>IF('Expenses Summary'!$F48="","",IF('Cash Flow %s Yr3'!F92="","",'Cash Flow %s Yr3'!F92*'Expenses Summary'!$F48))</f>
        <v>0</v>
      </c>
      <c r="G92" s="64">
        <f>IF('Expenses Summary'!$F48="","",IF('Cash Flow %s Yr3'!G92="","",'Cash Flow %s Yr3'!G92*'Expenses Summary'!$F48))</f>
        <v>0</v>
      </c>
      <c r="H92" s="64">
        <f>IF('Expenses Summary'!$F48="","",IF('Cash Flow %s Yr3'!H92="","",'Cash Flow %s Yr3'!H92*'Expenses Summary'!$F48))</f>
        <v>538.93174499999998</v>
      </c>
      <c r="I92" s="64">
        <f>IF('Expenses Summary'!$F48="","",IF('Cash Flow %s Yr3'!I92="","",'Cash Flow %s Yr3'!I92*'Expenses Summary'!$F48))</f>
        <v>538.93174499999998</v>
      </c>
      <c r="J92" s="64">
        <f>IF('Expenses Summary'!$F48="","",IF('Cash Flow %s Yr3'!J92="","",'Cash Flow %s Yr3'!J92*'Expenses Summary'!$F48))</f>
        <v>538.93174499999998</v>
      </c>
      <c r="K92" s="64">
        <f>IF('Expenses Summary'!$F48="","",IF('Cash Flow %s Yr3'!K92="","",'Cash Flow %s Yr3'!K92*'Expenses Summary'!$F48))</f>
        <v>0</v>
      </c>
      <c r="L92" s="64">
        <f>IF('Expenses Summary'!$F48="","",IF('Cash Flow %s Yr3'!L92="","",'Cash Flow %s Yr3'!L92*'Expenses Summary'!$F48))</f>
        <v>538.93174499999998</v>
      </c>
      <c r="M92" s="64">
        <f>IF('Expenses Summary'!$F48="","",IF('Cash Flow %s Yr3'!M92="","",'Cash Flow %s Yr3'!M92*'Expenses Summary'!$F48))</f>
        <v>0</v>
      </c>
      <c r="N92" s="64">
        <f>IF('Expenses Summary'!$F48="","",IF('Cash Flow %s Yr3'!N92="","",'Cash Flow %s Yr3'!N92*'Expenses Summary'!$F48))</f>
        <v>0</v>
      </c>
      <c r="O92" s="64">
        <f>IF('Expenses Summary'!$F48="","",IF('Cash Flow %s Yr3'!O92="","",'Cash Flow %s Yr3'!O92*'Expenses Summary'!$F48))</f>
        <v>0</v>
      </c>
      <c r="P92" s="129"/>
      <c r="Q92" s="129"/>
      <c r="R92" s="129"/>
      <c r="S92" s="111">
        <f>IF(SUM(D92:R92)&gt;0,SUM(D92:R92)/'Expenses Summary'!$F48,"")</f>
        <v>1</v>
      </c>
    </row>
    <row r="93" spans="1:19" x14ac:dyDescent="0.2">
      <c r="A93" s="36"/>
      <c r="B93" s="139" t="str">
        <f>'Expenses Summary'!B49</f>
        <v>4300</v>
      </c>
      <c r="C93" s="139" t="str">
        <f>'Expenses Summary'!C49</f>
        <v>Materials and Supplies</v>
      </c>
      <c r="D93" s="64">
        <f>IF('Expenses Summary'!$F49="","",IF('Cash Flow %s Yr3'!D93="","",'Cash Flow %s Yr3'!D93*'Expenses Summary'!$F49))</f>
        <v>0</v>
      </c>
      <c r="E93" s="64">
        <f>IF('Expenses Summary'!$F49="","",IF('Cash Flow %s Yr3'!E93="","",'Cash Flow %s Yr3'!E93*'Expenses Summary'!$F49))</f>
        <v>0</v>
      </c>
      <c r="F93" s="64">
        <f>IF('Expenses Summary'!$F49="","",IF('Cash Flow %s Yr3'!F93="","",'Cash Flow %s Yr3'!F93*'Expenses Summary'!$F49))</f>
        <v>1683.0291654</v>
      </c>
      <c r="G93" s="64">
        <f>IF('Expenses Summary'!$F49="","",IF('Cash Flow %s Yr3'!G93="","",'Cash Flow %s Yr3'!G93*'Expenses Summary'!$F49))</f>
        <v>0</v>
      </c>
      <c r="H93" s="64">
        <f>IF('Expenses Summary'!$F49="","",IF('Cash Flow %s Yr3'!H93="","",'Cash Flow %s Yr3'!H93*'Expenses Summary'!$F49))</f>
        <v>1683.0291654</v>
      </c>
      <c r="I93" s="64">
        <f>IF('Expenses Summary'!$F49="","",IF('Cash Flow %s Yr3'!I93="","",'Cash Flow %s Yr3'!I93*'Expenses Summary'!$F49))</f>
        <v>0</v>
      </c>
      <c r="J93" s="64">
        <f>IF('Expenses Summary'!$F49="","",IF('Cash Flow %s Yr3'!J93="","",'Cash Flow %s Yr3'!J93*'Expenses Summary'!$F49))</f>
        <v>1683.0291654</v>
      </c>
      <c r="K93" s="64">
        <f>IF('Expenses Summary'!$F49="","",IF('Cash Flow %s Yr3'!K93="","",'Cash Flow %s Yr3'!K93*'Expenses Summary'!$F49))</f>
        <v>0</v>
      </c>
      <c r="L93" s="64">
        <f>IF('Expenses Summary'!$F49="","",IF('Cash Flow %s Yr3'!L93="","",'Cash Flow %s Yr3'!L93*'Expenses Summary'!$F49))</f>
        <v>561.00972179999997</v>
      </c>
      <c r="M93" s="64">
        <f>IF('Expenses Summary'!$F49="","",IF('Cash Flow %s Yr3'!M93="","",'Cash Flow %s Yr3'!M93*'Expenses Summary'!$F49))</f>
        <v>0</v>
      </c>
      <c r="N93" s="64">
        <f>IF('Expenses Summary'!$F49="","",IF('Cash Flow %s Yr3'!N93="","",'Cash Flow %s Yr3'!N93*'Expenses Summary'!$F49))</f>
        <v>0</v>
      </c>
      <c r="O93" s="64">
        <f>IF('Expenses Summary'!$F49="","",IF('Cash Flow %s Yr3'!O93="","",'Cash Flow %s Yr3'!O93*'Expenses Summary'!$F49))</f>
        <v>0</v>
      </c>
      <c r="P93" s="129"/>
      <c r="Q93" s="129"/>
      <c r="R93" s="129"/>
      <c r="S93" s="111">
        <f>IF(SUM(D93:R93)&gt;0,SUM(D93:R93)/'Expenses Summary'!$F49,"")</f>
        <v>1</v>
      </c>
    </row>
    <row r="94" spans="1:19" x14ac:dyDescent="0.2">
      <c r="A94" s="36"/>
      <c r="B94" s="139" t="str">
        <f>'Expenses Summary'!B50</f>
        <v>4315</v>
      </c>
      <c r="C94" s="139" t="str">
        <f>'Expenses Summary'!C50</f>
        <v>Classroom Materials and Supplies</v>
      </c>
      <c r="D94" s="64">
        <f>IF('Expenses Summary'!$F50="","",IF('Cash Flow %s Yr3'!D94="","",'Cash Flow %s Yr3'!D94*'Expenses Summary'!$F50))</f>
        <v>0</v>
      </c>
      <c r="E94" s="64">
        <f>IF('Expenses Summary'!$F50="","",IF('Cash Flow %s Yr3'!E94="","",'Cash Flow %s Yr3'!E94*'Expenses Summary'!$F50))</f>
        <v>0</v>
      </c>
      <c r="F94" s="64">
        <f>IF('Expenses Summary'!$F50="","",IF('Cash Flow %s Yr3'!F94="","",'Cash Flow %s Yr3'!F94*'Expenses Summary'!$F50))</f>
        <v>365.74459679999995</v>
      </c>
      <c r="G94" s="64">
        <f>IF('Expenses Summary'!$F50="","",IF('Cash Flow %s Yr3'!G94="","",'Cash Flow %s Yr3'!G94*'Expenses Summary'!$F50))</f>
        <v>365.74459679999995</v>
      </c>
      <c r="H94" s="64">
        <f>IF('Expenses Summary'!$F50="","",IF('Cash Flow %s Yr3'!H94="","",'Cash Flow %s Yr3'!H94*'Expenses Summary'!$F50))</f>
        <v>731.48919359999991</v>
      </c>
      <c r="I94" s="64">
        <f>IF('Expenses Summary'!$F50="","",IF('Cash Flow %s Yr3'!I94="","",'Cash Flow %s Yr3'!I94*'Expenses Summary'!$F50))</f>
        <v>365.74459679999995</v>
      </c>
      <c r="J94" s="64">
        <f>IF('Expenses Summary'!$F50="","",IF('Cash Flow %s Yr3'!J94="","",'Cash Flow %s Yr3'!J94*'Expenses Summary'!$F50))</f>
        <v>731.48919359999991</v>
      </c>
      <c r="K94" s="64">
        <f>IF('Expenses Summary'!$F50="","",IF('Cash Flow %s Yr3'!K94="","",'Cash Flow %s Yr3'!K94*'Expenses Summary'!$F50))</f>
        <v>365.74459679999995</v>
      </c>
      <c r="L94" s="64">
        <f>IF('Expenses Summary'!$F50="","",IF('Cash Flow %s Yr3'!L94="","",'Cash Flow %s Yr3'!L94*'Expenses Summary'!$F50))</f>
        <v>365.74459679999995</v>
      </c>
      <c r="M94" s="64">
        <f>IF('Expenses Summary'!$F50="","",IF('Cash Flow %s Yr3'!M94="","",'Cash Flow %s Yr3'!M94*'Expenses Summary'!$F50))</f>
        <v>365.74459679999995</v>
      </c>
      <c r="N94" s="64">
        <f>IF('Expenses Summary'!$F50="","",IF('Cash Flow %s Yr3'!N94="","",'Cash Flow %s Yr3'!N94*'Expenses Summary'!$F50))</f>
        <v>0</v>
      </c>
      <c r="O94" s="64">
        <f>IF('Expenses Summary'!$F50="","",IF('Cash Flow %s Yr3'!O94="","",'Cash Flow %s Yr3'!O94*'Expenses Summary'!$F50))</f>
        <v>0</v>
      </c>
      <c r="P94" s="129"/>
      <c r="Q94" s="129"/>
      <c r="R94" s="129"/>
      <c r="S94" s="111">
        <f>IF(SUM(D94:R94)&gt;0,SUM(D94:R94)/'Expenses Summary'!$F50,"")</f>
        <v>1.0000000000000002</v>
      </c>
    </row>
    <row r="95" spans="1:19" x14ac:dyDescent="0.2">
      <c r="A95" s="36"/>
      <c r="B95" s="139" t="str">
        <f>'Expenses Summary'!B51</f>
        <v>4400</v>
      </c>
      <c r="C95" s="139" t="str">
        <f>'Expenses Summary'!C51</f>
        <v>Noncapitalized Equipment</v>
      </c>
      <c r="D95" s="64">
        <f>IF('Expenses Summary'!$F51="","",IF('Cash Flow %s Yr3'!D95="","",'Cash Flow %s Yr3'!D95*'Expenses Summary'!$F51))</f>
        <v>849.09</v>
      </c>
      <c r="E95" s="64">
        <f>IF('Expenses Summary'!$F51="","",IF('Cash Flow %s Yr3'!E95="","",'Cash Flow %s Yr3'!E95*'Expenses Summary'!$F51))</f>
        <v>849.09</v>
      </c>
      <c r="F95" s="64">
        <f>IF('Expenses Summary'!$F51="","",IF('Cash Flow %s Yr3'!F95="","",'Cash Flow %s Yr3'!F95*'Expenses Summary'!$F51))</f>
        <v>849.09</v>
      </c>
      <c r="G95" s="64">
        <f>IF('Expenses Summary'!$F51="","",IF('Cash Flow %s Yr3'!G95="","",'Cash Flow %s Yr3'!G95*'Expenses Summary'!$F51))</f>
        <v>849.09</v>
      </c>
      <c r="H95" s="64">
        <f>IF('Expenses Summary'!$F51="","",IF('Cash Flow %s Yr3'!H95="","",'Cash Flow %s Yr3'!H95*'Expenses Summary'!$F51))</f>
        <v>849.09</v>
      </c>
      <c r="I95" s="64">
        <f>IF('Expenses Summary'!$F51="","",IF('Cash Flow %s Yr3'!I95="","",'Cash Flow %s Yr3'!I95*'Expenses Summary'!$F51))</f>
        <v>849.09</v>
      </c>
      <c r="J95" s="64">
        <f>IF('Expenses Summary'!$F51="","",IF('Cash Flow %s Yr3'!J95="","",'Cash Flow %s Yr3'!J95*'Expenses Summary'!$F51))</f>
        <v>849.09</v>
      </c>
      <c r="K95" s="64">
        <f>IF('Expenses Summary'!$F51="","",IF('Cash Flow %s Yr3'!K95="","",'Cash Flow %s Yr3'!K95*'Expenses Summary'!$F51))</f>
        <v>849.09</v>
      </c>
      <c r="L95" s="64">
        <f>IF('Expenses Summary'!$F51="","",IF('Cash Flow %s Yr3'!L95="","",'Cash Flow %s Yr3'!L95*'Expenses Summary'!$F51))</f>
        <v>859.32</v>
      </c>
      <c r="M95" s="64">
        <f>IF('Expenses Summary'!$F51="","",IF('Cash Flow %s Yr3'!M95="","",'Cash Flow %s Yr3'!M95*'Expenses Summary'!$F51))</f>
        <v>859.32</v>
      </c>
      <c r="N95" s="64">
        <f>IF('Expenses Summary'!$F51="","",IF('Cash Flow %s Yr3'!N95="","",'Cash Flow %s Yr3'!N95*'Expenses Summary'!$F51))</f>
        <v>859.32</v>
      </c>
      <c r="O95" s="64">
        <f>IF('Expenses Summary'!$F51="","",IF('Cash Flow %s Yr3'!O95="","",'Cash Flow %s Yr3'!O95*'Expenses Summary'!$F51))</f>
        <v>859.32</v>
      </c>
      <c r="P95" s="129"/>
      <c r="Q95" s="129"/>
      <c r="R95" s="129"/>
      <c r="S95" s="111">
        <f>IF(SUM(D95:R95)&gt;0,SUM(D95:R95)/'Expenses Summary'!$F51,"")</f>
        <v>1</v>
      </c>
    </row>
    <row r="96" spans="1:19" x14ac:dyDescent="0.2">
      <c r="A96" s="36"/>
      <c r="B96" s="139" t="str">
        <f>'Expenses Summary'!B52</f>
        <v>4430</v>
      </c>
      <c r="C96" s="139" t="str">
        <f>'Expenses Summary'!C52</f>
        <v>General Student Equipment</v>
      </c>
      <c r="D96" s="64">
        <f>IF('Expenses Summary'!$F52="","",IF('Cash Flow %s Yr3'!D96="","",'Cash Flow %s Yr3'!D96*'Expenses Summary'!$F52))</f>
        <v>0</v>
      </c>
      <c r="E96" s="64">
        <f>IF('Expenses Summary'!$F52="","",IF('Cash Flow %s Yr3'!E96="","",'Cash Flow %s Yr3'!E96*'Expenses Summary'!$F52))</f>
        <v>0</v>
      </c>
      <c r="F96" s="64">
        <f>IF('Expenses Summary'!$F52="","",IF('Cash Flow %s Yr3'!F96="","",'Cash Flow %s Yr3'!F96*'Expenses Summary'!$F52))</f>
        <v>2506.2669323999994</v>
      </c>
      <c r="G96" s="64">
        <f>IF('Expenses Summary'!$F52="","",IF('Cash Flow %s Yr3'!G96="","",'Cash Flow %s Yr3'!G96*'Expenses Summary'!$F52))</f>
        <v>0</v>
      </c>
      <c r="H96" s="64">
        <f>IF('Expenses Summary'!$F52="","",IF('Cash Flow %s Yr3'!H96="","",'Cash Flow %s Yr3'!H96*'Expenses Summary'!$F52))</f>
        <v>0</v>
      </c>
      <c r="I96" s="64">
        <f>IF('Expenses Summary'!$F52="","",IF('Cash Flow %s Yr3'!I96="","",'Cash Flow %s Yr3'!I96*'Expenses Summary'!$F52))</f>
        <v>0</v>
      </c>
      <c r="J96" s="64">
        <f>IF('Expenses Summary'!$F52="","",IF('Cash Flow %s Yr3'!J96="","",'Cash Flow %s Yr3'!J96*'Expenses Summary'!$F52))</f>
        <v>1670.8446215999998</v>
      </c>
      <c r="K96" s="64">
        <f>IF('Expenses Summary'!$F52="","",IF('Cash Flow %s Yr3'!K96="","",'Cash Flow %s Yr3'!K96*'Expenses Summary'!$F52))</f>
        <v>0</v>
      </c>
      <c r="L96" s="64">
        <f>IF('Expenses Summary'!$F52="","",IF('Cash Flow %s Yr3'!L96="","",'Cash Flow %s Yr3'!L96*'Expenses Summary'!$F52))</f>
        <v>0</v>
      </c>
      <c r="M96" s="64">
        <f>IF('Expenses Summary'!$F52="","",IF('Cash Flow %s Yr3'!M96="","",'Cash Flow %s Yr3'!M96*'Expenses Summary'!$F52))</f>
        <v>0</v>
      </c>
      <c r="N96" s="64">
        <f>IF('Expenses Summary'!$F52="","",IF('Cash Flow %s Yr3'!N96="","",'Cash Flow %s Yr3'!N96*'Expenses Summary'!$F52))</f>
        <v>0</v>
      </c>
      <c r="O96" s="64">
        <f>IF('Expenses Summary'!$F52="","",IF('Cash Flow %s Yr3'!O96="","",'Cash Flow %s Yr3'!O96*'Expenses Summary'!$F52))</f>
        <v>0</v>
      </c>
      <c r="P96" s="129"/>
      <c r="Q96" s="129"/>
      <c r="R96" s="129"/>
      <c r="S96" s="111">
        <f>IF(SUM(D96:R96)&gt;0,SUM(D96:R96)/'Expenses Summary'!$F52,"")</f>
        <v>1</v>
      </c>
    </row>
    <row r="97" spans="1:19" hidden="1" outlineLevel="1" x14ac:dyDescent="0.2">
      <c r="A97" s="36"/>
      <c r="B97" s="139">
        <f>'Expenses Summary'!B53</f>
        <v>0</v>
      </c>
      <c r="C97" s="139">
        <f>'Expenses Summary'!C53</f>
        <v>0</v>
      </c>
      <c r="D97" s="64" t="str">
        <f>IF('Expenses Summary'!$F53="","",IF('Cash Flow %s Yr3'!D97="","",'Cash Flow %s Yr3'!D97*'Expenses Summary'!$F53))</f>
        <v/>
      </c>
      <c r="E97" s="64" t="str">
        <f>IF('Expenses Summary'!$F53="","",IF('Cash Flow %s Yr3'!E97="","",'Cash Flow %s Yr3'!E97*'Expenses Summary'!$F53))</f>
        <v/>
      </c>
      <c r="F97" s="64" t="str">
        <f>IF('Expenses Summary'!$F53="","",IF('Cash Flow %s Yr3'!F97="","",'Cash Flow %s Yr3'!F97*'Expenses Summary'!$F53))</f>
        <v/>
      </c>
      <c r="G97" s="64" t="str">
        <f>IF('Expenses Summary'!$F53="","",IF('Cash Flow %s Yr3'!G97="","",'Cash Flow %s Yr3'!G97*'Expenses Summary'!$F53))</f>
        <v/>
      </c>
      <c r="H97" s="64" t="str">
        <f>IF('Expenses Summary'!$F53="","",IF('Cash Flow %s Yr3'!H97="","",'Cash Flow %s Yr3'!H97*'Expenses Summary'!$F53))</f>
        <v/>
      </c>
      <c r="I97" s="64" t="str">
        <f>IF('Expenses Summary'!$F53="","",IF('Cash Flow %s Yr3'!I97="","",'Cash Flow %s Yr3'!I97*'Expenses Summary'!$F53))</f>
        <v/>
      </c>
      <c r="J97" s="64" t="str">
        <f>IF('Expenses Summary'!$F53="","",IF('Cash Flow %s Yr3'!J97="","",'Cash Flow %s Yr3'!J97*'Expenses Summary'!$F53))</f>
        <v/>
      </c>
      <c r="K97" s="64" t="str">
        <f>IF('Expenses Summary'!$F53="","",IF('Cash Flow %s Yr3'!K97="","",'Cash Flow %s Yr3'!K97*'Expenses Summary'!$F53))</f>
        <v/>
      </c>
      <c r="L97" s="64" t="str">
        <f>IF('Expenses Summary'!$F53="","",IF('Cash Flow %s Yr3'!L97="","",'Cash Flow %s Yr3'!L97*'Expenses Summary'!$F53))</f>
        <v/>
      </c>
      <c r="M97" s="64" t="str">
        <f>IF('Expenses Summary'!$F53="","",IF('Cash Flow %s Yr3'!M97="","",'Cash Flow %s Yr3'!M97*'Expenses Summary'!$F53))</f>
        <v/>
      </c>
      <c r="N97" s="64" t="str">
        <f>IF('Expenses Summary'!$F53="","",IF('Cash Flow %s Yr3'!N97="","",'Cash Flow %s Yr3'!N97*'Expenses Summary'!$F53))</f>
        <v/>
      </c>
      <c r="O97" s="64" t="str">
        <f>IF('Expenses Summary'!$F53="","",IF('Cash Flow %s Yr3'!O97="","",'Cash Flow %s Yr3'!O97*'Expenses Summary'!$F53))</f>
        <v/>
      </c>
      <c r="P97" s="129"/>
      <c r="Q97" s="129"/>
      <c r="R97" s="129"/>
      <c r="S97" s="111"/>
    </row>
    <row r="98" spans="1:19" hidden="1" outlineLevel="1" x14ac:dyDescent="0.2">
      <c r="A98" s="36"/>
      <c r="B98" s="139">
        <f>'Expenses Summary'!B54</f>
        <v>0</v>
      </c>
      <c r="C98" s="139">
        <f>'Expenses Summary'!C54</f>
        <v>0</v>
      </c>
      <c r="D98" s="64" t="str">
        <f>IF('Expenses Summary'!$F54="","",IF('Cash Flow %s Yr3'!D98="","",'Cash Flow %s Yr3'!D98*'Expenses Summary'!$F54))</f>
        <v/>
      </c>
      <c r="E98" s="64" t="str">
        <f>IF('Expenses Summary'!$F54="","",IF('Cash Flow %s Yr3'!E98="","",'Cash Flow %s Yr3'!E98*'Expenses Summary'!$F54))</f>
        <v/>
      </c>
      <c r="F98" s="64" t="str">
        <f>IF('Expenses Summary'!$F54="","",IF('Cash Flow %s Yr3'!F98="","",'Cash Flow %s Yr3'!F98*'Expenses Summary'!$F54))</f>
        <v/>
      </c>
      <c r="G98" s="64" t="str">
        <f>IF('Expenses Summary'!$F54="","",IF('Cash Flow %s Yr3'!G98="","",'Cash Flow %s Yr3'!G98*'Expenses Summary'!$F54))</f>
        <v/>
      </c>
      <c r="H98" s="64" t="str">
        <f>IF('Expenses Summary'!$F54="","",IF('Cash Flow %s Yr3'!H98="","",'Cash Flow %s Yr3'!H98*'Expenses Summary'!$F54))</f>
        <v/>
      </c>
      <c r="I98" s="64" t="str">
        <f>IF('Expenses Summary'!$F54="","",IF('Cash Flow %s Yr3'!I98="","",'Cash Flow %s Yr3'!I98*'Expenses Summary'!$F54))</f>
        <v/>
      </c>
      <c r="J98" s="64" t="str">
        <f>IF('Expenses Summary'!$F54="","",IF('Cash Flow %s Yr3'!J98="","",'Cash Flow %s Yr3'!J98*'Expenses Summary'!$F54))</f>
        <v/>
      </c>
      <c r="K98" s="64" t="str">
        <f>IF('Expenses Summary'!$F54="","",IF('Cash Flow %s Yr3'!K98="","",'Cash Flow %s Yr3'!K98*'Expenses Summary'!$F54))</f>
        <v/>
      </c>
      <c r="L98" s="64" t="str">
        <f>IF('Expenses Summary'!$F54="","",IF('Cash Flow %s Yr3'!L98="","",'Cash Flow %s Yr3'!L98*'Expenses Summary'!$F54))</f>
        <v/>
      </c>
      <c r="M98" s="64" t="str">
        <f>IF('Expenses Summary'!$F54="","",IF('Cash Flow %s Yr3'!M98="","",'Cash Flow %s Yr3'!M98*'Expenses Summary'!$F54))</f>
        <v/>
      </c>
      <c r="N98" s="64" t="str">
        <f>IF('Expenses Summary'!$F54="","",IF('Cash Flow %s Yr3'!N98="","",'Cash Flow %s Yr3'!N98*'Expenses Summary'!$F54))</f>
        <v/>
      </c>
      <c r="O98" s="64" t="str">
        <f>IF('Expenses Summary'!$F54="","",IF('Cash Flow %s Yr3'!O98="","",'Cash Flow %s Yr3'!O98*'Expenses Summary'!$F54))</f>
        <v/>
      </c>
      <c r="P98" s="129"/>
      <c r="Q98" s="129"/>
      <c r="R98" s="129"/>
      <c r="S98" s="111"/>
    </row>
    <row r="99" spans="1:19" hidden="1" outlineLevel="1" x14ac:dyDescent="0.2">
      <c r="A99" s="36"/>
      <c r="B99" s="139">
        <f>'Expenses Summary'!B55</f>
        <v>0</v>
      </c>
      <c r="C99" s="139">
        <f>'Expenses Summary'!C55</f>
        <v>0</v>
      </c>
      <c r="D99" s="64" t="str">
        <f>IF('Expenses Summary'!$F55="","",IF('Cash Flow %s Yr3'!D99="","",'Cash Flow %s Yr3'!D99*'Expenses Summary'!$F55))</f>
        <v/>
      </c>
      <c r="E99" s="64" t="str">
        <f>IF('Expenses Summary'!$F55="","",IF('Cash Flow %s Yr3'!E99="","",'Cash Flow %s Yr3'!E99*'Expenses Summary'!$F55))</f>
        <v/>
      </c>
      <c r="F99" s="64" t="str">
        <f>IF('Expenses Summary'!$F55="","",IF('Cash Flow %s Yr3'!F99="","",'Cash Flow %s Yr3'!F99*'Expenses Summary'!$F55))</f>
        <v/>
      </c>
      <c r="G99" s="64" t="str">
        <f>IF('Expenses Summary'!$F55="","",IF('Cash Flow %s Yr3'!G99="","",'Cash Flow %s Yr3'!G99*'Expenses Summary'!$F55))</f>
        <v/>
      </c>
      <c r="H99" s="64" t="str">
        <f>IF('Expenses Summary'!$F55="","",IF('Cash Flow %s Yr3'!H99="","",'Cash Flow %s Yr3'!H99*'Expenses Summary'!$F55))</f>
        <v/>
      </c>
      <c r="I99" s="64" t="str">
        <f>IF('Expenses Summary'!$F55="","",IF('Cash Flow %s Yr3'!I99="","",'Cash Flow %s Yr3'!I99*'Expenses Summary'!$F55))</f>
        <v/>
      </c>
      <c r="J99" s="64" t="str">
        <f>IF('Expenses Summary'!$F55="","",IF('Cash Flow %s Yr3'!J99="","",'Cash Flow %s Yr3'!J99*'Expenses Summary'!$F55))</f>
        <v/>
      </c>
      <c r="K99" s="64" t="str">
        <f>IF('Expenses Summary'!$F55="","",IF('Cash Flow %s Yr3'!K99="","",'Cash Flow %s Yr3'!K99*'Expenses Summary'!$F55))</f>
        <v/>
      </c>
      <c r="L99" s="64" t="str">
        <f>IF('Expenses Summary'!$F55="","",IF('Cash Flow %s Yr3'!L99="","",'Cash Flow %s Yr3'!L99*'Expenses Summary'!$F55))</f>
        <v/>
      </c>
      <c r="M99" s="64" t="str">
        <f>IF('Expenses Summary'!$F55="","",IF('Cash Flow %s Yr3'!M99="","",'Cash Flow %s Yr3'!M99*'Expenses Summary'!$F55))</f>
        <v/>
      </c>
      <c r="N99" s="64" t="str">
        <f>IF('Expenses Summary'!$F55="","",IF('Cash Flow %s Yr3'!N99="","",'Cash Flow %s Yr3'!N99*'Expenses Summary'!$F55))</f>
        <v/>
      </c>
      <c r="O99" s="64" t="str">
        <f>IF('Expenses Summary'!$F55="","",IF('Cash Flow %s Yr3'!O99="","",'Cash Flow %s Yr3'!O99*'Expenses Summary'!$F55))</f>
        <v/>
      </c>
      <c r="P99" s="129"/>
      <c r="Q99" s="129"/>
      <c r="R99" s="129"/>
      <c r="S99" s="111"/>
    </row>
    <row r="100" spans="1:19" hidden="1" outlineLevel="1" x14ac:dyDescent="0.2">
      <c r="A100" s="36"/>
      <c r="B100" s="139">
        <f>'Expenses Summary'!B56</f>
        <v>0</v>
      </c>
      <c r="C100" s="139">
        <f>'Expenses Summary'!C56</f>
        <v>0</v>
      </c>
      <c r="D100" s="64" t="str">
        <f>IF('Expenses Summary'!$F56="","",IF('Cash Flow %s Yr3'!D100="","",'Cash Flow %s Yr3'!D100*'Expenses Summary'!$F56))</f>
        <v/>
      </c>
      <c r="E100" s="64" t="str">
        <f>IF('Expenses Summary'!$F56="","",IF('Cash Flow %s Yr3'!E100="","",'Cash Flow %s Yr3'!E100*'Expenses Summary'!$F56))</f>
        <v/>
      </c>
      <c r="F100" s="64" t="str">
        <f>IF('Expenses Summary'!$F56="","",IF('Cash Flow %s Yr3'!F100="","",'Cash Flow %s Yr3'!F100*'Expenses Summary'!$F56))</f>
        <v/>
      </c>
      <c r="G100" s="64" t="str">
        <f>IF('Expenses Summary'!$F56="","",IF('Cash Flow %s Yr3'!G100="","",'Cash Flow %s Yr3'!G100*'Expenses Summary'!$F56))</f>
        <v/>
      </c>
      <c r="H100" s="64" t="str">
        <f>IF('Expenses Summary'!$F56="","",IF('Cash Flow %s Yr3'!H100="","",'Cash Flow %s Yr3'!H100*'Expenses Summary'!$F56))</f>
        <v/>
      </c>
      <c r="I100" s="64" t="str">
        <f>IF('Expenses Summary'!$F56="","",IF('Cash Flow %s Yr3'!I100="","",'Cash Flow %s Yr3'!I100*'Expenses Summary'!$F56))</f>
        <v/>
      </c>
      <c r="J100" s="64" t="str">
        <f>IF('Expenses Summary'!$F56="","",IF('Cash Flow %s Yr3'!J100="","",'Cash Flow %s Yr3'!J100*'Expenses Summary'!$F56))</f>
        <v/>
      </c>
      <c r="K100" s="64" t="str">
        <f>IF('Expenses Summary'!$F56="","",IF('Cash Flow %s Yr3'!K100="","",'Cash Flow %s Yr3'!K100*'Expenses Summary'!$F56))</f>
        <v/>
      </c>
      <c r="L100" s="64" t="str">
        <f>IF('Expenses Summary'!$F56="","",IF('Cash Flow %s Yr3'!L100="","",'Cash Flow %s Yr3'!L100*'Expenses Summary'!$F56))</f>
        <v/>
      </c>
      <c r="M100" s="64" t="str">
        <f>IF('Expenses Summary'!$F56="","",IF('Cash Flow %s Yr3'!M100="","",'Cash Flow %s Yr3'!M100*'Expenses Summary'!$F56))</f>
        <v/>
      </c>
      <c r="N100" s="64" t="str">
        <f>IF('Expenses Summary'!$F56="","",IF('Cash Flow %s Yr3'!N100="","",'Cash Flow %s Yr3'!N100*'Expenses Summary'!$F56))</f>
        <v/>
      </c>
      <c r="O100" s="64" t="str">
        <f>IF('Expenses Summary'!$F56="","",IF('Cash Flow %s Yr3'!O100="","",'Cash Flow %s Yr3'!O100*'Expenses Summary'!$F56))</f>
        <v/>
      </c>
      <c r="P100" s="129"/>
      <c r="Q100" s="129"/>
      <c r="R100" s="129"/>
      <c r="S100" s="111"/>
    </row>
    <row r="101" spans="1:19" hidden="1" outlineLevel="1" x14ac:dyDescent="0.2">
      <c r="A101" s="36"/>
      <c r="B101" s="139">
        <f>'Expenses Summary'!B57</f>
        <v>0</v>
      </c>
      <c r="C101" s="139">
        <f>'Expenses Summary'!C57</f>
        <v>0</v>
      </c>
      <c r="D101" s="64" t="str">
        <f>IF('Expenses Summary'!$F57="","",IF('Cash Flow %s Yr3'!D101="","",'Cash Flow %s Yr3'!D101*'Expenses Summary'!$F57))</f>
        <v/>
      </c>
      <c r="E101" s="64" t="str">
        <f>IF('Expenses Summary'!$F57="","",IF('Cash Flow %s Yr3'!E101="","",'Cash Flow %s Yr3'!E101*'Expenses Summary'!$F57))</f>
        <v/>
      </c>
      <c r="F101" s="64" t="str">
        <f>IF('Expenses Summary'!$F57="","",IF('Cash Flow %s Yr3'!F101="","",'Cash Flow %s Yr3'!F101*'Expenses Summary'!$F57))</f>
        <v/>
      </c>
      <c r="G101" s="64" t="str">
        <f>IF('Expenses Summary'!$F57="","",IF('Cash Flow %s Yr3'!G101="","",'Cash Flow %s Yr3'!G101*'Expenses Summary'!$F57))</f>
        <v/>
      </c>
      <c r="H101" s="64" t="str">
        <f>IF('Expenses Summary'!$F57="","",IF('Cash Flow %s Yr3'!H101="","",'Cash Flow %s Yr3'!H101*'Expenses Summary'!$F57))</f>
        <v/>
      </c>
      <c r="I101" s="64" t="str">
        <f>IF('Expenses Summary'!$F57="","",IF('Cash Flow %s Yr3'!I101="","",'Cash Flow %s Yr3'!I101*'Expenses Summary'!$F57))</f>
        <v/>
      </c>
      <c r="J101" s="64" t="str">
        <f>IF('Expenses Summary'!$F57="","",IF('Cash Flow %s Yr3'!J101="","",'Cash Flow %s Yr3'!J101*'Expenses Summary'!$F57))</f>
        <v/>
      </c>
      <c r="K101" s="64" t="str">
        <f>IF('Expenses Summary'!$F57="","",IF('Cash Flow %s Yr3'!K101="","",'Cash Flow %s Yr3'!K101*'Expenses Summary'!$F57))</f>
        <v/>
      </c>
      <c r="L101" s="64" t="str">
        <f>IF('Expenses Summary'!$F57="","",IF('Cash Flow %s Yr3'!L101="","",'Cash Flow %s Yr3'!L101*'Expenses Summary'!$F57))</f>
        <v/>
      </c>
      <c r="M101" s="64" t="str">
        <f>IF('Expenses Summary'!$F57="","",IF('Cash Flow %s Yr3'!M101="","",'Cash Flow %s Yr3'!M101*'Expenses Summary'!$F57))</f>
        <v/>
      </c>
      <c r="N101" s="64" t="str">
        <f>IF('Expenses Summary'!$F57="","",IF('Cash Flow %s Yr3'!N101="","",'Cash Flow %s Yr3'!N101*'Expenses Summary'!$F57))</f>
        <v/>
      </c>
      <c r="O101" s="64" t="str">
        <f>IF('Expenses Summary'!$F57="","",IF('Cash Flow %s Yr3'!O101="","",'Cash Flow %s Yr3'!O101*'Expenses Summary'!$F57))</f>
        <v/>
      </c>
      <c r="P101" s="129"/>
      <c r="Q101" s="129"/>
      <c r="R101" s="129"/>
      <c r="S101" s="111"/>
    </row>
    <row r="102" spans="1:19" hidden="1" outlineLevel="1" x14ac:dyDescent="0.2">
      <c r="A102" s="36"/>
      <c r="B102" s="139">
        <f>'Expenses Summary'!B58</f>
        <v>0</v>
      </c>
      <c r="C102" s="139">
        <f>'Expenses Summary'!C58</f>
        <v>0</v>
      </c>
      <c r="D102" s="64" t="str">
        <f>IF('Expenses Summary'!$F58="","",IF('Cash Flow %s Yr3'!D102="","",'Cash Flow %s Yr3'!D102*'Expenses Summary'!$F58))</f>
        <v/>
      </c>
      <c r="E102" s="64" t="str">
        <f>IF('Expenses Summary'!$F58="","",IF('Cash Flow %s Yr3'!E102="","",'Cash Flow %s Yr3'!E102*'Expenses Summary'!$F58))</f>
        <v/>
      </c>
      <c r="F102" s="64" t="str">
        <f>IF('Expenses Summary'!$F58="","",IF('Cash Flow %s Yr3'!F102="","",'Cash Flow %s Yr3'!F102*'Expenses Summary'!$F58))</f>
        <v/>
      </c>
      <c r="G102" s="64" t="str">
        <f>IF('Expenses Summary'!$F58="","",IF('Cash Flow %s Yr3'!G102="","",'Cash Flow %s Yr3'!G102*'Expenses Summary'!$F58))</f>
        <v/>
      </c>
      <c r="H102" s="64" t="str">
        <f>IF('Expenses Summary'!$F58="","",IF('Cash Flow %s Yr3'!H102="","",'Cash Flow %s Yr3'!H102*'Expenses Summary'!$F58))</f>
        <v/>
      </c>
      <c r="I102" s="64" t="str">
        <f>IF('Expenses Summary'!$F58="","",IF('Cash Flow %s Yr3'!I102="","",'Cash Flow %s Yr3'!I102*'Expenses Summary'!$F58))</f>
        <v/>
      </c>
      <c r="J102" s="64" t="str">
        <f>IF('Expenses Summary'!$F58="","",IF('Cash Flow %s Yr3'!J102="","",'Cash Flow %s Yr3'!J102*'Expenses Summary'!$F58))</f>
        <v/>
      </c>
      <c r="K102" s="64" t="str">
        <f>IF('Expenses Summary'!$F58="","",IF('Cash Flow %s Yr3'!K102="","",'Cash Flow %s Yr3'!K102*'Expenses Summary'!$F58))</f>
        <v/>
      </c>
      <c r="L102" s="64" t="str">
        <f>IF('Expenses Summary'!$F58="","",IF('Cash Flow %s Yr3'!L102="","",'Cash Flow %s Yr3'!L102*'Expenses Summary'!$F58))</f>
        <v/>
      </c>
      <c r="M102" s="64" t="str">
        <f>IF('Expenses Summary'!$F58="","",IF('Cash Flow %s Yr3'!M102="","",'Cash Flow %s Yr3'!M102*'Expenses Summary'!$F58))</f>
        <v/>
      </c>
      <c r="N102" s="64" t="str">
        <f>IF('Expenses Summary'!$F58="","",IF('Cash Flow %s Yr3'!N102="","",'Cash Flow %s Yr3'!N102*'Expenses Summary'!$F58))</f>
        <v/>
      </c>
      <c r="O102" s="64" t="str">
        <f>IF('Expenses Summary'!$F58="","",IF('Cash Flow %s Yr3'!O102="","",'Cash Flow %s Yr3'!O102*'Expenses Summary'!$F58))</f>
        <v/>
      </c>
      <c r="P102" s="129"/>
      <c r="Q102" s="129"/>
      <c r="R102" s="129"/>
      <c r="S102" s="111"/>
    </row>
    <row r="103" spans="1:19" hidden="1" outlineLevel="1" x14ac:dyDescent="0.2">
      <c r="A103" s="36"/>
      <c r="B103" s="139">
        <f>'Expenses Summary'!B59</f>
        <v>0</v>
      </c>
      <c r="C103" s="139">
        <f>'Expenses Summary'!C59</f>
        <v>0</v>
      </c>
      <c r="D103" s="64" t="str">
        <f>IF('Expenses Summary'!$F59="","",IF('Cash Flow %s Yr3'!D103="","",'Cash Flow %s Yr3'!D103*'Expenses Summary'!$F59))</f>
        <v/>
      </c>
      <c r="E103" s="64" t="str">
        <f>IF('Expenses Summary'!$F59="","",IF('Cash Flow %s Yr3'!E103="","",'Cash Flow %s Yr3'!E103*'Expenses Summary'!$F59))</f>
        <v/>
      </c>
      <c r="F103" s="64" t="str">
        <f>IF('Expenses Summary'!$F59="","",IF('Cash Flow %s Yr3'!F103="","",'Cash Flow %s Yr3'!F103*'Expenses Summary'!$F59))</f>
        <v/>
      </c>
      <c r="G103" s="64" t="str">
        <f>IF('Expenses Summary'!$F59="","",IF('Cash Flow %s Yr3'!G103="","",'Cash Flow %s Yr3'!G103*'Expenses Summary'!$F59))</f>
        <v/>
      </c>
      <c r="H103" s="64" t="str">
        <f>IF('Expenses Summary'!$F59="","",IF('Cash Flow %s Yr3'!H103="","",'Cash Flow %s Yr3'!H103*'Expenses Summary'!$F59))</f>
        <v/>
      </c>
      <c r="I103" s="64" t="str">
        <f>IF('Expenses Summary'!$F59="","",IF('Cash Flow %s Yr3'!I103="","",'Cash Flow %s Yr3'!I103*'Expenses Summary'!$F59))</f>
        <v/>
      </c>
      <c r="J103" s="64" t="str">
        <f>IF('Expenses Summary'!$F59="","",IF('Cash Flow %s Yr3'!J103="","",'Cash Flow %s Yr3'!J103*'Expenses Summary'!$F59))</f>
        <v/>
      </c>
      <c r="K103" s="64" t="str">
        <f>IF('Expenses Summary'!$F59="","",IF('Cash Flow %s Yr3'!K103="","",'Cash Flow %s Yr3'!K103*'Expenses Summary'!$F59))</f>
        <v/>
      </c>
      <c r="L103" s="64" t="str">
        <f>IF('Expenses Summary'!$F59="","",IF('Cash Flow %s Yr3'!L103="","",'Cash Flow %s Yr3'!L103*'Expenses Summary'!$F59))</f>
        <v/>
      </c>
      <c r="M103" s="64" t="str">
        <f>IF('Expenses Summary'!$F59="","",IF('Cash Flow %s Yr3'!M103="","",'Cash Flow %s Yr3'!M103*'Expenses Summary'!$F59))</f>
        <v/>
      </c>
      <c r="N103" s="64" t="str">
        <f>IF('Expenses Summary'!$F59="","",IF('Cash Flow %s Yr3'!N103="","",'Cash Flow %s Yr3'!N103*'Expenses Summary'!$F59))</f>
        <v/>
      </c>
      <c r="O103" s="64" t="str">
        <f>IF('Expenses Summary'!$F59="","",IF('Cash Flow %s Yr3'!O103="","",'Cash Flow %s Yr3'!O103*'Expenses Summary'!$F59))</f>
        <v/>
      </c>
      <c r="P103" s="129"/>
      <c r="Q103" s="129"/>
      <c r="R103" s="129"/>
      <c r="S103" s="111"/>
    </row>
    <row r="104" spans="1:19" hidden="1" outlineLevel="1" x14ac:dyDescent="0.2">
      <c r="A104" s="36"/>
      <c r="B104" s="139">
        <f>'Expenses Summary'!B60</f>
        <v>0</v>
      </c>
      <c r="C104" s="139">
        <f>'Expenses Summary'!C60</f>
        <v>0</v>
      </c>
      <c r="D104" s="64" t="str">
        <f>IF('Expenses Summary'!$F60="","",IF('Cash Flow %s Yr3'!D104="","",'Cash Flow %s Yr3'!D104*'Expenses Summary'!$F60))</f>
        <v/>
      </c>
      <c r="E104" s="64" t="str">
        <f>IF('Expenses Summary'!$F60="","",IF('Cash Flow %s Yr3'!E104="","",'Cash Flow %s Yr3'!E104*'Expenses Summary'!$F60))</f>
        <v/>
      </c>
      <c r="F104" s="64" t="str">
        <f>IF('Expenses Summary'!$F60="","",IF('Cash Flow %s Yr3'!F104="","",'Cash Flow %s Yr3'!F104*'Expenses Summary'!$F60))</f>
        <v/>
      </c>
      <c r="G104" s="64" t="str">
        <f>IF('Expenses Summary'!$F60="","",IF('Cash Flow %s Yr3'!G104="","",'Cash Flow %s Yr3'!G104*'Expenses Summary'!$F60))</f>
        <v/>
      </c>
      <c r="H104" s="64" t="str">
        <f>IF('Expenses Summary'!$F60="","",IF('Cash Flow %s Yr3'!H104="","",'Cash Flow %s Yr3'!H104*'Expenses Summary'!$F60))</f>
        <v/>
      </c>
      <c r="I104" s="64" t="str">
        <f>IF('Expenses Summary'!$F60="","",IF('Cash Flow %s Yr3'!I104="","",'Cash Flow %s Yr3'!I104*'Expenses Summary'!$F60))</f>
        <v/>
      </c>
      <c r="J104" s="64" t="str">
        <f>IF('Expenses Summary'!$F60="","",IF('Cash Flow %s Yr3'!J104="","",'Cash Flow %s Yr3'!J104*'Expenses Summary'!$F60))</f>
        <v/>
      </c>
      <c r="K104" s="64" t="str">
        <f>IF('Expenses Summary'!$F60="","",IF('Cash Flow %s Yr3'!K104="","",'Cash Flow %s Yr3'!K104*'Expenses Summary'!$F60))</f>
        <v/>
      </c>
      <c r="L104" s="64" t="str">
        <f>IF('Expenses Summary'!$F60="","",IF('Cash Flow %s Yr3'!L104="","",'Cash Flow %s Yr3'!L104*'Expenses Summary'!$F60))</f>
        <v/>
      </c>
      <c r="M104" s="64" t="str">
        <f>IF('Expenses Summary'!$F60="","",IF('Cash Flow %s Yr3'!M104="","",'Cash Flow %s Yr3'!M104*'Expenses Summary'!$F60))</f>
        <v/>
      </c>
      <c r="N104" s="64" t="str">
        <f>IF('Expenses Summary'!$F60="","",IF('Cash Flow %s Yr3'!N104="","",'Cash Flow %s Yr3'!N104*'Expenses Summary'!$F60))</f>
        <v/>
      </c>
      <c r="O104" s="64" t="str">
        <f>IF('Expenses Summary'!$F60="","",IF('Cash Flow %s Yr3'!O104="","",'Cash Flow %s Yr3'!O104*'Expenses Summary'!$F60))</f>
        <v/>
      </c>
      <c r="P104" s="129"/>
      <c r="Q104" s="129"/>
      <c r="R104" s="129"/>
      <c r="S104" s="111"/>
    </row>
    <row r="105" spans="1:19" hidden="1" outlineLevel="1" x14ac:dyDescent="0.2">
      <c r="A105" s="36"/>
      <c r="B105" s="139">
        <f>'Expenses Summary'!B61</f>
        <v>0</v>
      </c>
      <c r="C105" s="139">
        <f>'Expenses Summary'!C61</f>
        <v>0</v>
      </c>
      <c r="D105" s="64" t="str">
        <f>IF('Expenses Summary'!$F61="","",IF('Cash Flow %s Yr3'!D105="","",'Cash Flow %s Yr3'!D105*'Expenses Summary'!$F61))</f>
        <v/>
      </c>
      <c r="E105" s="64" t="str">
        <f>IF('Expenses Summary'!$F61="","",IF('Cash Flow %s Yr3'!E105="","",'Cash Flow %s Yr3'!E105*'Expenses Summary'!$F61))</f>
        <v/>
      </c>
      <c r="F105" s="64" t="str">
        <f>IF('Expenses Summary'!$F61="","",IF('Cash Flow %s Yr3'!F105="","",'Cash Flow %s Yr3'!F105*'Expenses Summary'!$F61))</f>
        <v/>
      </c>
      <c r="G105" s="64" t="str">
        <f>IF('Expenses Summary'!$F61="","",IF('Cash Flow %s Yr3'!G105="","",'Cash Flow %s Yr3'!G105*'Expenses Summary'!$F61))</f>
        <v/>
      </c>
      <c r="H105" s="64" t="str">
        <f>IF('Expenses Summary'!$F61="","",IF('Cash Flow %s Yr3'!H105="","",'Cash Flow %s Yr3'!H105*'Expenses Summary'!$F61))</f>
        <v/>
      </c>
      <c r="I105" s="64" t="str">
        <f>IF('Expenses Summary'!$F61="","",IF('Cash Flow %s Yr3'!I105="","",'Cash Flow %s Yr3'!I105*'Expenses Summary'!$F61))</f>
        <v/>
      </c>
      <c r="J105" s="64" t="str">
        <f>IF('Expenses Summary'!$F61="","",IF('Cash Flow %s Yr3'!J105="","",'Cash Flow %s Yr3'!J105*'Expenses Summary'!$F61))</f>
        <v/>
      </c>
      <c r="K105" s="64" t="str">
        <f>IF('Expenses Summary'!$F61="","",IF('Cash Flow %s Yr3'!K105="","",'Cash Flow %s Yr3'!K105*'Expenses Summary'!$F61))</f>
        <v/>
      </c>
      <c r="L105" s="64" t="str">
        <f>IF('Expenses Summary'!$F61="","",IF('Cash Flow %s Yr3'!L105="","",'Cash Flow %s Yr3'!L105*'Expenses Summary'!$F61))</f>
        <v/>
      </c>
      <c r="M105" s="64" t="str">
        <f>IF('Expenses Summary'!$F61="","",IF('Cash Flow %s Yr3'!M105="","",'Cash Flow %s Yr3'!M105*'Expenses Summary'!$F61))</f>
        <v/>
      </c>
      <c r="N105" s="64" t="str">
        <f>IF('Expenses Summary'!$F61="","",IF('Cash Flow %s Yr3'!N105="","",'Cash Flow %s Yr3'!N105*'Expenses Summary'!$F61))</f>
        <v/>
      </c>
      <c r="O105" s="64" t="str">
        <f>IF('Expenses Summary'!$F61="","",IF('Cash Flow %s Yr3'!O105="","",'Cash Flow %s Yr3'!O105*'Expenses Summary'!$F61))</f>
        <v/>
      </c>
      <c r="P105" s="129"/>
      <c r="Q105" s="129"/>
      <c r="R105" s="129"/>
      <c r="S105" s="111"/>
    </row>
    <row r="106" spans="1:19" hidden="1" outlineLevel="1" x14ac:dyDescent="0.2">
      <c r="A106" s="36"/>
      <c r="B106" s="139">
        <f>'Expenses Summary'!B62</f>
        <v>0</v>
      </c>
      <c r="C106" s="139">
        <f>'Expenses Summary'!C62</f>
        <v>0</v>
      </c>
      <c r="D106" s="64" t="str">
        <f>IF('Expenses Summary'!$F62="","",IF('Cash Flow %s Yr3'!D106="","",'Cash Flow %s Yr3'!D106*'Expenses Summary'!$F62))</f>
        <v/>
      </c>
      <c r="E106" s="64" t="str">
        <f>IF('Expenses Summary'!$F62="","",IF('Cash Flow %s Yr3'!E106="","",'Cash Flow %s Yr3'!E106*'Expenses Summary'!$F62))</f>
        <v/>
      </c>
      <c r="F106" s="64" t="str">
        <f>IF('Expenses Summary'!$F62="","",IF('Cash Flow %s Yr3'!F106="","",'Cash Flow %s Yr3'!F106*'Expenses Summary'!$F62))</f>
        <v/>
      </c>
      <c r="G106" s="64" t="str">
        <f>IF('Expenses Summary'!$F62="","",IF('Cash Flow %s Yr3'!G106="","",'Cash Flow %s Yr3'!G106*'Expenses Summary'!$F62))</f>
        <v/>
      </c>
      <c r="H106" s="64" t="str">
        <f>IF('Expenses Summary'!$F62="","",IF('Cash Flow %s Yr3'!H106="","",'Cash Flow %s Yr3'!H106*'Expenses Summary'!$F62))</f>
        <v/>
      </c>
      <c r="I106" s="64" t="str">
        <f>IF('Expenses Summary'!$F62="","",IF('Cash Flow %s Yr3'!I106="","",'Cash Flow %s Yr3'!I106*'Expenses Summary'!$F62))</f>
        <v/>
      </c>
      <c r="J106" s="64" t="str">
        <f>IF('Expenses Summary'!$F62="","",IF('Cash Flow %s Yr3'!J106="","",'Cash Flow %s Yr3'!J106*'Expenses Summary'!$F62))</f>
        <v/>
      </c>
      <c r="K106" s="64" t="str">
        <f>IF('Expenses Summary'!$F62="","",IF('Cash Flow %s Yr3'!K106="","",'Cash Flow %s Yr3'!K106*'Expenses Summary'!$F62))</f>
        <v/>
      </c>
      <c r="L106" s="64" t="str">
        <f>IF('Expenses Summary'!$F62="","",IF('Cash Flow %s Yr3'!L106="","",'Cash Flow %s Yr3'!L106*'Expenses Summary'!$F62))</f>
        <v/>
      </c>
      <c r="M106" s="64" t="str">
        <f>IF('Expenses Summary'!$F62="","",IF('Cash Flow %s Yr3'!M106="","",'Cash Flow %s Yr3'!M106*'Expenses Summary'!$F62))</f>
        <v/>
      </c>
      <c r="N106" s="64" t="str">
        <f>IF('Expenses Summary'!$F62="","",IF('Cash Flow %s Yr3'!N106="","",'Cash Flow %s Yr3'!N106*'Expenses Summary'!$F62))</f>
        <v/>
      </c>
      <c r="O106" s="64" t="str">
        <f>IF('Expenses Summary'!$F62="","",IF('Cash Flow %s Yr3'!O106="","",'Cash Flow %s Yr3'!O106*'Expenses Summary'!$F62))</f>
        <v/>
      </c>
      <c r="P106" s="129"/>
      <c r="Q106" s="129"/>
      <c r="R106" s="129"/>
      <c r="S106" s="111"/>
    </row>
    <row r="107" spans="1:19" s="31" customFormat="1" collapsed="1" x14ac:dyDescent="0.2">
      <c r="A107" s="36"/>
      <c r="B107" s="139" t="str">
        <f>'Expenses Summary'!B63</f>
        <v>4700</v>
      </c>
      <c r="C107" s="139" t="str">
        <f>'Expenses Summary'!C63</f>
        <v>Food and Food Supplies</v>
      </c>
      <c r="D107" s="64">
        <f>IF('Expenses Summary'!$F63="","",IF('Cash Flow %s Yr3'!D107="","",'Cash Flow %s Yr3'!D107*'Expenses Summary'!$F63))</f>
        <v>0</v>
      </c>
      <c r="E107" s="64">
        <f>IF('Expenses Summary'!$F63="","",IF('Cash Flow %s Yr3'!E107="","",'Cash Flow %s Yr3'!E107*'Expenses Summary'!$F63))</f>
        <v>0</v>
      </c>
      <c r="F107" s="64">
        <f>IF('Expenses Summary'!$F63="","",IF('Cash Flow %s Yr3'!F107="","",'Cash Flow %s Yr3'!F107*'Expenses Summary'!$F63))</f>
        <v>26.576885279999999</v>
      </c>
      <c r="G107" s="64">
        <f>IF('Expenses Summary'!$F63="","",IF('Cash Flow %s Yr3'!G107="","",'Cash Flow %s Yr3'!G107*'Expenses Summary'!$F63))</f>
        <v>0</v>
      </c>
      <c r="H107" s="64">
        <f>IF('Expenses Summary'!$F63="","",IF('Cash Flow %s Yr3'!H107="","",'Cash Flow %s Yr3'!H107*'Expenses Summary'!$F63))</f>
        <v>48.321609600000002</v>
      </c>
      <c r="I107" s="64">
        <f>IF('Expenses Summary'!$F63="","",IF('Cash Flow %s Yr3'!I107="","",'Cash Flow %s Yr3'!I107*'Expenses Summary'!$F63))</f>
        <v>48.321609600000002</v>
      </c>
      <c r="J107" s="64">
        <f>IF('Expenses Summary'!$F63="","",IF('Cash Flow %s Yr3'!J107="","",'Cash Flow %s Yr3'!J107*'Expenses Summary'!$F63))</f>
        <v>48.321609600000002</v>
      </c>
      <c r="K107" s="64">
        <f>IF('Expenses Summary'!$F63="","",IF('Cash Flow %s Yr3'!K107="","",'Cash Flow %s Yr3'!K107*'Expenses Summary'!$F63))</f>
        <v>48.321609600000002</v>
      </c>
      <c r="L107" s="64">
        <f>IF('Expenses Summary'!$F63="","",IF('Cash Flow %s Yr3'!L107="","",'Cash Flow %s Yr3'!L107*'Expenses Summary'!$F63))</f>
        <v>48.321609600000002</v>
      </c>
      <c r="M107" s="64">
        <f>IF('Expenses Summary'!$F63="","",IF('Cash Flow %s Yr3'!M107="","",'Cash Flow %s Yr3'!M107*'Expenses Summary'!$F63))</f>
        <v>48.321609600000002</v>
      </c>
      <c r="N107" s="64">
        <f>IF('Expenses Summary'!$F63="","",IF('Cash Flow %s Yr3'!N107="","",'Cash Flow %s Yr3'!N107*'Expenses Summary'!$F63))</f>
        <v>48.321609600000002</v>
      </c>
      <c r="O107" s="64">
        <f>IF('Expenses Summary'!$F63="","",IF('Cash Flow %s Yr3'!O107="","",'Cash Flow %s Yr3'!O107*'Expenses Summary'!$F63))</f>
        <v>48.321609600000002</v>
      </c>
      <c r="P107" s="129"/>
      <c r="Q107" s="129"/>
      <c r="R107" s="129"/>
      <c r="S107" s="111">
        <f>IF(SUM(D107:R107)&gt;0,SUM(D107:R107)/'Expenses Summary'!$F63,"")</f>
        <v>0.85499999999999998</v>
      </c>
    </row>
    <row r="108" spans="1:19" s="31" customFormat="1" x14ac:dyDescent="0.2">
      <c r="A108" s="36"/>
      <c r="B108" s="33" t="s">
        <v>558</v>
      </c>
      <c r="C108" s="34" t="s">
        <v>721</v>
      </c>
      <c r="D108" s="172">
        <f t="shared" ref="D108:O108" si="9">IF(SUM(D90:D107)&gt;0,SUM(D90:D107),"")</f>
        <v>849.09</v>
      </c>
      <c r="E108" s="172">
        <f t="shared" si="9"/>
        <v>849.09</v>
      </c>
      <c r="F108" s="172">
        <f t="shared" si="9"/>
        <v>5430.7075798799997</v>
      </c>
      <c r="G108" s="172">
        <f t="shared" si="9"/>
        <v>1214.8345967999999</v>
      </c>
      <c r="H108" s="172">
        <f t="shared" si="9"/>
        <v>10855.6726311</v>
      </c>
      <c r="I108" s="172">
        <f t="shared" si="9"/>
        <v>8806.8988688999998</v>
      </c>
      <c r="J108" s="172">
        <f t="shared" si="9"/>
        <v>12526.5172527</v>
      </c>
      <c r="K108" s="172">
        <f t="shared" si="9"/>
        <v>1263.1562064</v>
      </c>
      <c r="L108" s="172">
        <f t="shared" si="9"/>
        <v>9378.1385906999985</v>
      </c>
      <c r="M108" s="172">
        <f t="shared" si="9"/>
        <v>1273.3862064</v>
      </c>
      <c r="N108" s="172">
        <f t="shared" si="9"/>
        <v>907.64160960000004</v>
      </c>
      <c r="O108" s="172">
        <f t="shared" si="9"/>
        <v>907.64160960000004</v>
      </c>
      <c r="P108" s="108"/>
      <c r="Q108" s="108"/>
      <c r="R108" s="108"/>
      <c r="S108" s="107"/>
    </row>
    <row r="109" spans="1:19" s="31" customFormat="1" x14ac:dyDescent="0.2">
      <c r="A109" s="36"/>
      <c r="B109" s="4"/>
      <c r="C109" s="3"/>
      <c r="D109" s="95"/>
      <c r="E109" s="95"/>
      <c r="F109" s="95"/>
      <c r="G109" s="95"/>
      <c r="H109" s="95"/>
      <c r="I109" s="95"/>
      <c r="J109" s="95"/>
      <c r="K109" s="95"/>
      <c r="L109" s="95"/>
      <c r="M109" s="95"/>
      <c r="N109" s="95"/>
      <c r="O109" s="95"/>
      <c r="P109" s="95"/>
      <c r="Q109" s="95"/>
      <c r="R109" s="95"/>
    </row>
    <row r="110" spans="1:19" s="31" customFormat="1" x14ac:dyDescent="0.2">
      <c r="B110" s="5" t="s">
        <v>722</v>
      </c>
      <c r="C110" s="3"/>
      <c r="D110" s="95"/>
      <c r="E110" s="95"/>
      <c r="F110" s="95"/>
      <c r="G110" s="95"/>
      <c r="H110" s="95"/>
      <c r="I110" s="95"/>
      <c r="J110" s="95"/>
      <c r="K110" s="95"/>
      <c r="L110" s="95"/>
      <c r="M110" s="95"/>
      <c r="N110" s="95"/>
      <c r="O110" s="95"/>
      <c r="P110" s="95"/>
      <c r="Q110" s="95"/>
      <c r="R110" s="95"/>
    </row>
    <row r="111" spans="1:19" s="31" customFormat="1" x14ac:dyDescent="0.2">
      <c r="A111" s="36"/>
      <c r="B111" s="139" t="str">
        <f>'Expenses Summary'!B67</f>
        <v>5200</v>
      </c>
      <c r="C111" s="139" t="str">
        <f>'Expenses Summary'!C67</f>
        <v>Travel and Conferences</v>
      </c>
      <c r="D111" s="64">
        <f>IF('Expenses Summary'!$F67="","",IF('Cash Flow %s Yr3'!D111="","",'Cash Flow %s Yr3'!D111*'Expenses Summary'!$F67))</f>
        <v>0</v>
      </c>
      <c r="E111" s="64">
        <f>IF('Expenses Summary'!$F67="","",IF('Cash Flow %s Yr3'!E111="","",'Cash Flow %s Yr3'!E111*'Expenses Summary'!$F67))</f>
        <v>0</v>
      </c>
      <c r="F111" s="64">
        <f>IF('Expenses Summary'!$F67="","",IF('Cash Flow %s Yr3'!F111="","",'Cash Flow %s Yr3'!F111*'Expenses Summary'!$F67))</f>
        <v>1547.4370626</v>
      </c>
      <c r="G111" s="64">
        <f>IF('Expenses Summary'!$F67="","",IF('Cash Flow %s Yr3'!G111="","",'Cash Flow %s Yr3'!G111*'Expenses Summary'!$F67))</f>
        <v>515.81235420000007</v>
      </c>
      <c r="H111" s="64">
        <f>IF('Expenses Summary'!$F67="","",IF('Cash Flow %s Yr3'!H111="","",'Cash Flow %s Yr3'!H111*'Expenses Summary'!$F67))</f>
        <v>515.81235420000007</v>
      </c>
      <c r="I111" s="64">
        <f>IF('Expenses Summary'!$F67="","",IF('Cash Flow %s Yr3'!I111="","",'Cash Flow %s Yr3'!I111*'Expenses Summary'!$F67))</f>
        <v>515.81235420000007</v>
      </c>
      <c r="J111" s="64">
        <f>IF('Expenses Summary'!$F67="","",IF('Cash Flow %s Yr3'!J111="","",'Cash Flow %s Yr3'!J111*'Expenses Summary'!$F67))</f>
        <v>515.81235420000007</v>
      </c>
      <c r="K111" s="64">
        <f>IF('Expenses Summary'!$F67="","",IF('Cash Flow %s Yr3'!K111="","",'Cash Flow %s Yr3'!K111*'Expenses Summary'!$F67))</f>
        <v>515.81235420000007</v>
      </c>
      <c r="L111" s="64">
        <f>IF('Expenses Summary'!$F67="","",IF('Cash Flow %s Yr3'!L111="","",'Cash Flow %s Yr3'!L111*'Expenses Summary'!$F67))</f>
        <v>515.81235420000007</v>
      </c>
      <c r="M111" s="64">
        <f>IF('Expenses Summary'!$F67="","",IF('Cash Flow %s Yr3'!M111="","",'Cash Flow %s Yr3'!M111*'Expenses Summary'!$F67))</f>
        <v>515.81235420000007</v>
      </c>
      <c r="N111" s="64">
        <f>IF('Expenses Summary'!$F67="","",IF('Cash Flow %s Yr3'!N111="","",'Cash Flow %s Yr3'!N111*'Expenses Summary'!$F67))</f>
        <v>0</v>
      </c>
      <c r="O111" s="64">
        <f>IF('Expenses Summary'!$F67="","",IF('Cash Flow %s Yr3'!O111="","",'Cash Flow %s Yr3'!O111*'Expenses Summary'!$F67))</f>
        <v>0</v>
      </c>
      <c r="P111" s="129"/>
      <c r="Q111" s="129"/>
      <c r="R111" s="129"/>
      <c r="S111" s="111">
        <f>IF(SUM(D111:R111)&gt;0,SUM(D111:R111)/'Expenses Summary'!$F67,"")</f>
        <v>1.0000000000000004</v>
      </c>
    </row>
    <row r="112" spans="1:19" s="31" customFormat="1" x14ac:dyDescent="0.2">
      <c r="A112" s="36"/>
      <c r="B112" s="139" t="str">
        <f>'Expenses Summary'!B68</f>
        <v>5210</v>
      </c>
      <c r="C112" s="139" t="str">
        <f>'Expenses Summary'!C68</f>
        <v>Training and Development Expense</v>
      </c>
      <c r="D112" s="64">
        <f>IF('Expenses Summary'!$F68="","",IF('Cash Flow %s Yr3'!D112="","",'Cash Flow %s Yr3'!D112*'Expenses Summary'!$F68))</f>
        <v>0</v>
      </c>
      <c r="E112" s="64">
        <f>IF('Expenses Summary'!$F68="","",IF('Cash Flow %s Yr3'!E112="","",'Cash Flow %s Yr3'!E112*'Expenses Summary'!$F68))</f>
        <v>0</v>
      </c>
      <c r="F112" s="64">
        <f>IF('Expenses Summary'!$F68="","",IF('Cash Flow %s Yr3'!F112="","",'Cash Flow %s Yr3'!F112*'Expenses Summary'!$F68))</f>
        <v>1214.7052895999998</v>
      </c>
      <c r="G112" s="64">
        <f>IF('Expenses Summary'!$F68="","",IF('Cash Flow %s Yr3'!G112="","",'Cash Flow %s Yr3'!G112*'Expenses Summary'!$F68))</f>
        <v>0</v>
      </c>
      <c r="H112" s="64">
        <f>IF('Expenses Summary'!$F68="","",IF('Cash Flow %s Yr3'!H112="","",'Cash Flow %s Yr3'!H112*'Expenses Summary'!$F68))</f>
        <v>0</v>
      </c>
      <c r="I112" s="64">
        <f>IF('Expenses Summary'!$F68="","",IF('Cash Flow %s Yr3'!I112="","",'Cash Flow %s Yr3'!I112*'Expenses Summary'!$F68))</f>
        <v>0</v>
      </c>
      <c r="J112" s="64">
        <f>IF('Expenses Summary'!$F68="","",IF('Cash Flow %s Yr3'!J112="","",'Cash Flow %s Yr3'!J112*'Expenses Summary'!$F68))</f>
        <v>0</v>
      </c>
      <c r="K112" s="64">
        <f>IF('Expenses Summary'!$F68="","",IF('Cash Flow %s Yr3'!K112="","",'Cash Flow %s Yr3'!K112*'Expenses Summary'!$F68))</f>
        <v>0</v>
      </c>
      <c r="L112" s="64">
        <f>IF('Expenses Summary'!$F68="","",IF('Cash Flow %s Yr3'!L112="","",'Cash Flow %s Yr3'!L112*'Expenses Summary'!$F68))</f>
        <v>134.96725439999997</v>
      </c>
      <c r="M112" s="64">
        <f>IF('Expenses Summary'!$F68="","",IF('Cash Flow %s Yr3'!M112="","",'Cash Flow %s Yr3'!M112*'Expenses Summary'!$F68))</f>
        <v>0</v>
      </c>
      <c r="N112" s="64">
        <f>IF('Expenses Summary'!$F68="","",IF('Cash Flow %s Yr3'!N112="","",'Cash Flow %s Yr3'!N112*'Expenses Summary'!$F68))</f>
        <v>0</v>
      </c>
      <c r="O112" s="64">
        <f>IF('Expenses Summary'!$F68="","",IF('Cash Flow %s Yr3'!O112="","",'Cash Flow %s Yr3'!O112*'Expenses Summary'!$F68))</f>
        <v>0</v>
      </c>
      <c r="P112" s="129"/>
      <c r="Q112" s="129"/>
      <c r="R112" s="129"/>
      <c r="S112" s="111">
        <f>IF(SUM(D112:R112)&gt;0,SUM(D112:R112)/'Expenses Summary'!$F68,"")</f>
        <v>1</v>
      </c>
    </row>
    <row r="113" spans="1:19" s="31" customFormat="1" x14ac:dyDescent="0.2">
      <c r="A113" s="36"/>
      <c r="B113" s="139" t="str">
        <f>'Expenses Summary'!B69</f>
        <v>5300</v>
      </c>
      <c r="C113" s="139" t="str">
        <f>'Expenses Summary'!C69</f>
        <v>Dues and Memberships</v>
      </c>
      <c r="D113" s="64">
        <f>IF('Expenses Summary'!$F69="","",IF('Cash Flow %s Yr3'!D113="","",'Cash Flow %s Yr3'!D113*'Expenses Summary'!$F69))</f>
        <v>0</v>
      </c>
      <c r="E113" s="64">
        <f>IF('Expenses Summary'!$F69="","",IF('Cash Flow %s Yr3'!E113="","",'Cash Flow %s Yr3'!E113*'Expenses Summary'!$F69))</f>
        <v>0</v>
      </c>
      <c r="F113" s="64">
        <f>IF('Expenses Summary'!$F69="","",IF('Cash Flow %s Yr3'!F113="","",'Cash Flow %s Yr3'!F113*'Expenses Summary'!$F69))</f>
        <v>2378.1730103999998</v>
      </c>
      <c r="G113" s="64">
        <f>IF('Expenses Summary'!$F69="","",IF('Cash Flow %s Yr3'!G113="","",'Cash Flow %s Yr3'!G113*'Expenses Summary'!$F69))</f>
        <v>792.72433679999995</v>
      </c>
      <c r="H113" s="64">
        <f>IF('Expenses Summary'!$F69="","",IF('Cash Flow %s Yr3'!H113="","",'Cash Flow %s Yr3'!H113*'Expenses Summary'!$F69))</f>
        <v>792.72433679999995</v>
      </c>
      <c r="I113" s="64">
        <f>IF('Expenses Summary'!$F69="","",IF('Cash Flow %s Yr3'!I113="","",'Cash Flow %s Yr3'!I113*'Expenses Summary'!$F69))</f>
        <v>792.72433679999995</v>
      </c>
      <c r="J113" s="64">
        <f>IF('Expenses Summary'!$F69="","",IF('Cash Flow %s Yr3'!J113="","",'Cash Flow %s Yr3'!J113*'Expenses Summary'!$F69))</f>
        <v>792.72433679999995</v>
      </c>
      <c r="K113" s="64">
        <f>IF('Expenses Summary'!$F69="","",IF('Cash Flow %s Yr3'!K113="","",'Cash Flow %s Yr3'!K113*'Expenses Summary'!$F69))</f>
        <v>792.72433679999995</v>
      </c>
      <c r="L113" s="64">
        <f>IF('Expenses Summary'!$F69="","",IF('Cash Flow %s Yr3'!L113="","",'Cash Flow %s Yr3'!L113*'Expenses Summary'!$F69))</f>
        <v>792.72433679999995</v>
      </c>
      <c r="M113" s="64">
        <f>IF('Expenses Summary'!$F69="","",IF('Cash Flow %s Yr3'!M113="","",'Cash Flow %s Yr3'!M113*'Expenses Summary'!$F69))</f>
        <v>792.72433679999995</v>
      </c>
      <c r="N113" s="64">
        <f>IF('Expenses Summary'!$F69="","",IF('Cash Flow %s Yr3'!N113="","",'Cash Flow %s Yr3'!N113*'Expenses Summary'!$F69))</f>
        <v>0</v>
      </c>
      <c r="O113" s="64">
        <f>IF('Expenses Summary'!$F69="","",IF('Cash Flow %s Yr3'!O113="","",'Cash Flow %s Yr3'!O113*'Expenses Summary'!$F69))</f>
        <v>0</v>
      </c>
      <c r="P113" s="129"/>
      <c r="Q113" s="129"/>
      <c r="R113" s="129"/>
      <c r="S113" s="111">
        <f>IF(SUM(D113:R113)&gt;0,SUM(D113:R113)/'Expenses Summary'!$F69,"")</f>
        <v>1</v>
      </c>
    </row>
    <row r="114" spans="1:19" s="31" customFormat="1" x14ac:dyDescent="0.2">
      <c r="A114" s="36"/>
      <c r="B114" s="139" t="str">
        <f>'Expenses Summary'!B70</f>
        <v>5400</v>
      </c>
      <c r="C114" s="139" t="str">
        <f>'Expenses Summary'!C70</f>
        <v>Insurance</v>
      </c>
      <c r="D114" s="64">
        <f>IF('Expenses Summary'!$F70="","",IF('Cash Flow %s Yr3'!D114="","",'Cash Flow %s Yr3'!D114*'Expenses Summary'!$F70))</f>
        <v>0</v>
      </c>
      <c r="E114" s="64">
        <f>IF('Expenses Summary'!$F70="","",IF('Cash Flow %s Yr3'!E114="","",'Cash Flow %s Yr3'!E114*'Expenses Summary'!$F70))</f>
        <v>0</v>
      </c>
      <c r="F114" s="64">
        <f>IF('Expenses Summary'!$F70="","",IF('Cash Flow %s Yr3'!F114="","",'Cash Flow %s Yr3'!F114*'Expenses Summary'!$F70))</f>
        <v>4647.6223991999996</v>
      </c>
      <c r="G114" s="64">
        <f>IF('Expenses Summary'!$F70="","",IF('Cash Flow %s Yr3'!G114="","",'Cash Flow %s Yr3'!G114*'Expenses Summary'!$F70))</f>
        <v>1549.2074663999999</v>
      </c>
      <c r="H114" s="64">
        <f>IF('Expenses Summary'!$F70="","",IF('Cash Flow %s Yr3'!H114="","",'Cash Flow %s Yr3'!H114*'Expenses Summary'!$F70))</f>
        <v>1549.2074663999999</v>
      </c>
      <c r="I114" s="64">
        <f>IF('Expenses Summary'!$F70="","",IF('Cash Flow %s Yr3'!I114="","",'Cash Flow %s Yr3'!I114*'Expenses Summary'!$F70))</f>
        <v>1549.2074663999999</v>
      </c>
      <c r="J114" s="64">
        <f>IF('Expenses Summary'!$F70="","",IF('Cash Flow %s Yr3'!J114="","",'Cash Flow %s Yr3'!J114*'Expenses Summary'!$F70))</f>
        <v>1549.2074663999999</v>
      </c>
      <c r="K114" s="64">
        <f>IF('Expenses Summary'!$F70="","",IF('Cash Flow %s Yr3'!K114="","",'Cash Flow %s Yr3'!K114*'Expenses Summary'!$F70))</f>
        <v>1549.2074663999999</v>
      </c>
      <c r="L114" s="64">
        <f>IF('Expenses Summary'!$F70="","",IF('Cash Flow %s Yr3'!L114="","",'Cash Flow %s Yr3'!L114*'Expenses Summary'!$F70))</f>
        <v>1549.2074663999999</v>
      </c>
      <c r="M114" s="64">
        <f>IF('Expenses Summary'!$F70="","",IF('Cash Flow %s Yr3'!M114="","",'Cash Flow %s Yr3'!M114*'Expenses Summary'!$F70))</f>
        <v>1549.2074663999999</v>
      </c>
      <c r="N114" s="64">
        <f>IF('Expenses Summary'!$F70="","",IF('Cash Flow %s Yr3'!N114="","",'Cash Flow %s Yr3'!N114*'Expenses Summary'!$F70))</f>
        <v>0</v>
      </c>
      <c r="O114" s="64">
        <f>IF('Expenses Summary'!$F70="","",IF('Cash Flow %s Yr3'!O114="","",'Cash Flow %s Yr3'!O114*'Expenses Summary'!$F70))</f>
        <v>0</v>
      </c>
      <c r="P114" s="129"/>
      <c r="Q114" s="129"/>
      <c r="R114" s="129"/>
      <c r="S114" s="111">
        <f>IF(SUM(D114:R114)&gt;0,SUM(D114:R114)/'Expenses Summary'!$F70,"")</f>
        <v>0.99999999999999989</v>
      </c>
    </row>
    <row r="115" spans="1:19" s="31" customFormat="1" x14ac:dyDescent="0.2">
      <c r="A115" s="36"/>
      <c r="B115" s="139" t="e">
        <f>'Expenses Summary'!#REF!</f>
        <v>#REF!</v>
      </c>
      <c r="C115" s="139" t="e">
        <f>'Expenses Summary'!#REF!</f>
        <v>#REF!</v>
      </c>
      <c r="D115" s="64" t="e">
        <f>IF('Expenses Summary'!#REF!="","",IF('Cash Flow %s Yr3'!D115="","",'Cash Flow %s Yr3'!D115*'Expenses Summary'!#REF!))</f>
        <v>#REF!</v>
      </c>
      <c r="E115" s="64" t="e">
        <f>IF('Expenses Summary'!#REF!="","",IF('Cash Flow %s Yr3'!E115="","",'Cash Flow %s Yr3'!E115*'Expenses Summary'!#REF!))</f>
        <v>#REF!</v>
      </c>
      <c r="F115" s="64" t="e">
        <f>IF('Expenses Summary'!#REF!="","",IF('Cash Flow %s Yr3'!F115="","",'Cash Flow %s Yr3'!F115*'Expenses Summary'!#REF!))</f>
        <v>#REF!</v>
      </c>
      <c r="G115" s="64" t="e">
        <f>IF('Expenses Summary'!#REF!="","",IF('Cash Flow %s Yr3'!G115="","",'Cash Flow %s Yr3'!G115*'Expenses Summary'!#REF!))</f>
        <v>#REF!</v>
      </c>
      <c r="H115" s="64" t="e">
        <f>IF('Expenses Summary'!#REF!="","",IF('Cash Flow %s Yr3'!H115="","",'Cash Flow %s Yr3'!H115*'Expenses Summary'!#REF!))</f>
        <v>#REF!</v>
      </c>
      <c r="I115" s="64" t="e">
        <f>IF('Expenses Summary'!#REF!="","",IF('Cash Flow %s Yr3'!I115="","",'Cash Flow %s Yr3'!I115*'Expenses Summary'!#REF!))</f>
        <v>#REF!</v>
      </c>
      <c r="J115" s="64" t="e">
        <f>IF('Expenses Summary'!#REF!="","",IF('Cash Flow %s Yr3'!J115="","",'Cash Flow %s Yr3'!J115*'Expenses Summary'!#REF!))</f>
        <v>#REF!</v>
      </c>
      <c r="K115" s="64" t="e">
        <f>IF('Expenses Summary'!#REF!="","",IF('Cash Flow %s Yr3'!K115="","",'Cash Flow %s Yr3'!K115*'Expenses Summary'!#REF!))</f>
        <v>#REF!</v>
      </c>
      <c r="L115" s="64" t="e">
        <f>IF('Expenses Summary'!#REF!="","",IF('Cash Flow %s Yr3'!L115="","",'Cash Flow %s Yr3'!L115*'Expenses Summary'!#REF!))</f>
        <v>#REF!</v>
      </c>
      <c r="M115" s="64" t="e">
        <f>IF('Expenses Summary'!#REF!="","",IF('Cash Flow %s Yr3'!M115="","",'Cash Flow %s Yr3'!M115*'Expenses Summary'!#REF!))</f>
        <v>#REF!</v>
      </c>
      <c r="N115" s="64" t="e">
        <f>IF('Expenses Summary'!#REF!="","",IF('Cash Flow %s Yr3'!N115="","",'Cash Flow %s Yr3'!N115*'Expenses Summary'!#REF!))</f>
        <v>#REF!</v>
      </c>
      <c r="O115" s="64" t="e">
        <f>IF('Expenses Summary'!#REF!="","",IF('Cash Flow %s Yr3'!O115="","",'Cash Flow %s Yr3'!O115*'Expenses Summary'!#REF!))</f>
        <v>#REF!</v>
      </c>
      <c r="P115" s="129"/>
      <c r="Q115" s="129"/>
      <c r="R115" s="129"/>
      <c r="S115" s="111" t="e">
        <f>IF(SUM(D115:R115)&gt;0,SUM(D115:R115)/'Expenses Summary'!#REF!,"")</f>
        <v>#REF!</v>
      </c>
    </row>
    <row r="116" spans="1:19" s="31" customFormat="1" x14ac:dyDescent="0.2">
      <c r="A116" s="36"/>
      <c r="B116" s="139" t="str">
        <f>'Expenses Summary'!B71</f>
        <v>5500</v>
      </c>
      <c r="C116" s="139" t="str">
        <f>'Expenses Summary'!C71</f>
        <v>Operation and Housekeeping Services/Supplies</v>
      </c>
      <c r="D116" s="64">
        <f>IF('Expenses Summary'!$F71="","",IF('Cash Flow %s Yr3'!D116="","",'Cash Flow %s Yr3'!D116*'Expenses Summary'!$F71))</f>
        <v>722.01128478600003</v>
      </c>
      <c r="E116" s="64">
        <f>IF('Expenses Summary'!$F71="","",IF('Cash Flow %s Yr3'!E116="","",'Cash Flow %s Yr3'!E116*'Expenses Summary'!$F71))</f>
        <v>722.01128478600003</v>
      </c>
      <c r="F116" s="64">
        <f>IF('Expenses Summary'!$F71="","",IF('Cash Flow %s Yr3'!F116="","",'Cash Flow %s Yr3'!F116*'Expenses Summary'!$F71))</f>
        <v>722.01128478600003</v>
      </c>
      <c r="G116" s="64">
        <f>IF('Expenses Summary'!$F71="","",IF('Cash Flow %s Yr3'!G116="","",'Cash Flow %s Yr3'!G116*'Expenses Summary'!$F71))</f>
        <v>722.01128478600003</v>
      </c>
      <c r="H116" s="64">
        <f>IF('Expenses Summary'!$F71="","",IF('Cash Flow %s Yr3'!H116="","",'Cash Flow %s Yr3'!H116*'Expenses Summary'!$F71))</f>
        <v>722.01128478600003</v>
      </c>
      <c r="I116" s="64">
        <f>IF('Expenses Summary'!$F71="","",IF('Cash Flow %s Yr3'!I116="","",'Cash Flow %s Yr3'!I116*'Expenses Summary'!$F71))</f>
        <v>722.01128478600003</v>
      </c>
      <c r="J116" s="64">
        <f>IF('Expenses Summary'!$F71="","",IF('Cash Flow %s Yr3'!J116="","",'Cash Flow %s Yr3'!J116*'Expenses Summary'!$F71))</f>
        <v>722.01128478600003</v>
      </c>
      <c r="K116" s="64">
        <f>IF('Expenses Summary'!$F71="","",IF('Cash Flow %s Yr3'!K116="","",'Cash Flow %s Yr3'!K116*'Expenses Summary'!$F71))</f>
        <v>722.01128478600003</v>
      </c>
      <c r="L116" s="64">
        <f>IF('Expenses Summary'!$F71="","",IF('Cash Flow %s Yr3'!L116="","",'Cash Flow %s Yr3'!L116*'Expenses Summary'!$F71))</f>
        <v>730.71021592800003</v>
      </c>
      <c r="M116" s="64">
        <f>IF('Expenses Summary'!$F71="","",IF('Cash Flow %s Yr3'!M116="","",'Cash Flow %s Yr3'!M116*'Expenses Summary'!$F71))</f>
        <v>730.71021592800003</v>
      </c>
      <c r="N116" s="64">
        <f>IF('Expenses Summary'!$F71="","",IF('Cash Flow %s Yr3'!N116="","",'Cash Flow %s Yr3'!N116*'Expenses Summary'!$F71))</f>
        <v>730.71021592800003</v>
      </c>
      <c r="O116" s="64">
        <f>IF('Expenses Summary'!$F71="","",IF('Cash Flow %s Yr3'!O116="","",'Cash Flow %s Yr3'!O116*'Expenses Summary'!$F71))</f>
        <v>730.71021592800003</v>
      </c>
      <c r="P116" s="129"/>
      <c r="Q116" s="129"/>
      <c r="R116" s="129"/>
      <c r="S116" s="111">
        <f>IF(SUM(D116:R116)&gt;0,SUM(D116:R116)/'Expenses Summary'!$F71,"")</f>
        <v>1.0000000000000002</v>
      </c>
    </row>
    <row r="117" spans="1:19" s="31" customFormat="1" x14ac:dyDescent="0.2">
      <c r="A117" s="36"/>
      <c r="B117" s="139" t="str">
        <f>'Expenses Summary'!B72</f>
        <v>5501</v>
      </c>
      <c r="C117" s="139" t="str">
        <f>'Expenses Summary'!C72</f>
        <v>Utilities</v>
      </c>
      <c r="D117" s="64">
        <f>IF('Expenses Summary'!$F72="","",IF('Cash Flow %s Yr3'!D117="","",'Cash Flow %s Yr3'!D117*'Expenses Summary'!$F72))</f>
        <v>0</v>
      </c>
      <c r="E117" s="64">
        <f>IF('Expenses Summary'!$F72="","",IF('Cash Flow %s Yr3'!E117="","",'Cash Flow %s Yr3'!E117*'Expenses Summary'!$F72))</f>
        <v>0</v>
      </c>
      <c r="F117" s="64">
        <f>IF('Expenses Summary'!$F72="","",IF('Cash Flow %s Yr3'!F117="","",'Cash Flow %s Yr3'!F117*'Expenses Summary'!$F72))</f>
        <v>0</v>
      </c>
      <c r="G117" s="64">
        <f>IF('Expenses Summary'!$F72="","",IF('Cash Flow %s Yr3'!G117="","",'Cash Flow %s Yr3'!G117*'Expenses Summary'!$F72))</f>
        <v>0</v>
      </c>
      <c r="H117" s="64">
        <f>IF('Expenses Summary'!$F72="","",IF('Cash Flow %s Yr3'!H117="","",'Cash Flow %s Yr3'!H117*'Expenses Summary'!$F72))</f>
        <v>0</v>
      </c>
      <c r="I117" s="64">
        <f>IF('Expenses Summary'!$F72="","",IF('Cash Flow %s Yr3'!I117="","",'Cash Flow %s Yr3'!I117*'Expenses Summary'!$F72))</f>
        <v>0</v>
      </c>
      <c r="J117" s="64">
        <f>IF('Expenses Summary'!$F72="","",IF('Cash Flow %s Yr3'!J117="","",'Cash Flow %s Yr3'!J117*'Expenses Summary'!$F72))</f>
        <v>0</v>
      </c>
      <c r="K117" s="64">
        <f>IF('Expenses Summary'!$F72="","",IF('Cash Flow %s Yr3'!K117="","",'Cash Flow %s Yr3'!K117*'Expenses Summary'!$F72))</f>
        <v>0</v>
      </c>
      <c r="L117" s="64">
        <f>IF('Expenses Summary'!$F72="","",IF('Cash Flow %s Yr3'!L117="","",'Cash Flow %s Yr3'!L117*'Expenses Summary'!$F72))</f>
        <v>0</v>
      </c>
      <c r="M117" s="64">
        <f>IF('Expenses Summary'!$F72="","",IF('Cash Flow %s Yr3'!M117="","",'Cash Flow %s Yr3'!M117*'Expenses Summary'!$F72))</f>
        <v>0</v>
      </c>
      <c r="N117" s="64">
        <f>IF('Expenses Summary'!$F72="","",IF('Cash Flow %s Yr3'!N117="","",'Cash Flow %s Yr3'!N117*'Expenses Summary'!$F72))</f>
        <v>0</v>
      </c>
      <c r="O117" s="64">
        <f>IF('Expenses Summary'!$F72="","",IF('Cash Flow %s Yr3'!O117="","",'Cash Flow %s Yr3'!O117*'Expenses Summary'!$F72))</f>
        <v>0</v>
      </c>
      <c r="P117" s="129"/>
      <c r="Q117" s="129"/>
      <c r="R117" s="129"/>
      <c r="S117" s="111" t="str">
        <f>IF(SUM(D117:R117)&gt;0,SUM(D117:R117)/'Expenses Summary'!$F72,"")</f>
        <v/>
      </c>
    </row>
    <row r="118" spans="1:19" s="31" customFormat="1" x14ac:dyDescent="0.2">
      <c r="A118" s="36"/>
      <c r="B118" s="139" t="str">
        <f>'Expenses Summary'!B73</f>
        <v>5505</v>
      </c>
      <c r="C118" s="139" t="str">
        <f>'Expenses Summary'!C73</f>
        <v>Student Transportation / Field Trips</v>
      </c>
      <c r="D118" s="64">
        <f>IF('Expenses Summary'!$F73="","",IF('Cash Flow %s Yr3'!D118="","",'Cash Flow %s Yr3'!D118*'Expenses Summary'!$F73))</f>
        <v>0</v>
      </c>
      <c r="E118" s="64">
        <f>IF('Expenses Summary'!$F73="","",IF('Cash Flow %s Yr3'!E118="","",'Cash Flow %s Yr3'!E118*'Expenses Summary'!$F73))</f>
        <v>0</v>
      </c>
      <c r="F118" s="64">
        <f>IF('Expenses Summary'!$F73="","",IF('Cash Flow %s Yr3'!F118="","",'Cash Flow %s Yr3'!F118*'Expenses Summary'!$F73))</f>
        <v>0</v>
      </c>
      <c r="G118" s="64">
        <f>IF('Expenses Summary'!$F73="","",IF('Cash Flow %s Yr3'!G118="","",'Cash Flow %s Yr3'!G118*'Expenses Summary'!$F73))</f>
        <v>0</v>
      </c>
      <c r="H118" s="64">
        <f>IF('Expenses Summary'!$F73="","",IF('Cash Flow %s Yr3'!H118="","",'Cash Flow %s Yr3'!H118*'Expenses Summary'!$F73))</f>
        <v>0</v>
      </c>
      <c r="I118" s="64">
        <f>IF('Expenses Summary'!$F73="","",IF('Cash Flow %s Yr3'!I118="","",'Cash Flow %s Yr3'!I118*'Expenses Summary'!$F73))</f>
        <v>0</v>
      </c>
      <c r="J118" s="64">
        <f>IF('Expenses Summary'!$F73="","",IF('Cash Flow %s Yr3'!J118="","",'Cash Flow %s Yr3'!J118*'Expenses Summary'!$F73))</f>
        <v>0</v>
      </c>
      <c r="K118" s="64">
        <f>IF('Expenses Summary'!$F73="","",IF('Cash Flow %s Yr3'!K118="","",'Cash Flow %s Yr3'!K118*'Expenses Summary'!$F73))</f>
        <v>0</v>
      </c>
      <c r="L118" s="64">
        <f>IF('Expenses Summary'!$F73="","",IF('Cash Flow %s Yr3'!L118="","",'Cash Flow %s Yr3'!L118*'Expenses Summary'!$F73))</f>
        <v>0</v>
      </c>
      <c r="M118" s="64">
        <f>IF('Expenses Summary'!$F73="","",IF('Cash Flow %s Yr3'!M118="","",'Cash Flow %s Yr3'!M118*'Expenses Summary'!$F73))</f>
        <v>0</v>
      </c>
      <c r="N118" s="64">
        <f>IF('Expenses Summary'!$F73="","",IF('Cash Flow %s Yr3'!N118="","",'Cash Flow %s Yr3'!N118*'Expenses Summary'!$F73))</f>
        <v>0</v>
      </c>
      <c r="O118" s="64">
        <f>IF('Expenses Summary'!$F73="","",IF('Cash Flow %s Yr3'!O118="","",'Cash Flow %s Yr3'!O118*'Expenses Summary'!$F73))</f>
        <v>0</v>
      </c>
      <c r="P118" s="129"/>
      <c r="Q118" s="129"/>
      <c r="R118" s="129"/>
      <c r="S118" s="111" t="str">
        <f>IF(SUM(D118:R118)&gt;0,SUM(D118:R118)/'Expenses Summary'!$F73,"")</f>
        <v/>
      </c>
    </row>
    <row r="119" spans="1:19" s="31" customFormat="1" x14ac:dyDescent="0.2">
      <c r="A119" s="36"/>
      <c r="B119" s="139" t="str">
        <f>'Expenses Summary'!B74</f>
        <v>5600</v>
      </c>
      <c r="C119" s="139" t="str">
        <f>'Expenses Summary'!C74</f>
        <v>Space Rental/Leases Expense</v>
      </c>
      <c r="D119" s="64">
        <f>IF('Expenses Summary'!$F74="","",IF('Cash Flow %s Yr3'!D119="","",'Cash Flow %s Yr3'!D119*'Expenses Summary'!$F74))</f>
        <v>2663.7999299999997</v>
      </c>
      <c r="E119" s="64">
        <f>IF('Expenses Summary'!$F74="","",IF('Cash Flow %s Yr3'!E119="","",'Cash Flow %s Yr3'!E119*'Expenses Summary'!$F74))</f>
        <v>2663.7999299999997</v>
      </c>
      <c r="F119" s="64">
        <f>IF('Expenses Summary'!$F74="","",IF('Cash Flow %s Yr3'!F119="","",'Cash Flow %s Yr3'!F119*'Expenses Summary'!$F74))</f>
        <v>4794.8398739999993</v>
      </c>
      <c r="G119" s="64">
        <f>IF('Expenses Summary'!$F74="","",IF('Cash Flow %s Yr3'!G119="","",'Cash Flow %s Yr3'!G119*'Expenses Summary'!$F74))</f>
        <v>4794.8398739999993</v>
      </c>
      <c r="H119" s="64">
        <f>IF('Expenses Summary'!$F74="","",IF('Cash Flow %s Yr3'!H119="","",'Cash Flow %s Yr3'!H119*'Expenses Summary'!$F74))</f>
        <v>4794.8398739999993</v>
      </c>
      <c r="I119" s="64">
        <f>IF('Expenses Summary'!$F74="","",IF('Cash Flow %s Yr3'!I119="","",'Cash Flow %s Yr3'!I119*'Expenses Summary'!$F74))</f>
        <v>4794.8398739999993</v>
      </c>
      <c r="J119" s="64">
        <f>IF('Expenses Summary'!$F74="","",IF('Cash Flow %s Yr3'!J119="","",'Cash Flow %s Yr3'!J119*'Expenses Summary'!$F74))</f>
        <v>4794.8398739999993</v>
      </c>
      <c r="K119" s="64">
        <f>IF('Expenses Summary'!$F74="","",IF('Cash Flow %s Yr3'!K119="","",'Cash Flow %s Yr3'!K119*'Expenses Summary'!$F74))</f>
        <v>4794.8398739999993</v>
      </c>
      <c r="L119" s="64">
        <f>IF('Expenses Summary'!$F74="","",IF('Cash Flow %s Yr3'!L119="","",'Cash Flow %s Yr3'!L119*'Expenses Summary'!$F74))</f>
        <v>4794.8398739999993</v>
      </c>
      <c r="M119" s="64">
        <f>IF('Expenses Summary'!$F74="","",IF('Cash Flow %s Yr3'!M119="","",'Cash Flow %s Yr3'!M119*'Expenses Summary'!$F74))</f>
        <v>4794.8398739999993</v>
      </c>
      <c r="N119" s="64">
        <f>IF('Expenses Summary'!$F74="","",IF('Cash Flow %s Yr3'!N119="","",'Cash Flow %s Yr3'!N119*'Expenses Summary'!$F74))</f>
        <v>4794.8398739999993</v>
      </c>
      <c r="O119" s="64">
        <f>IF('Expenses Summary'!$F74="","",IF('Cash Flow %s Yr3'!O119="","",'Cash Flow %s Yr3'!O119*'Expenses Summary'!$F74))</f>
        <v>4794.8398739999993</v>
      </c>
      <c r="P119" s="129"/>
      <c r="Q119" s="129"/>
      <c r="R119" s="129"/>
      <c r="S119" s="111">
        <f>IF(SUM(D119:R119)&gt;0,SUM(D119:R119)/'Expenses Summary'!$F74,"")</f>
        <v>0.99999999999999989</v>
      </c>
    </row>
    <row r="120" spans="1:19" s="31" customFormat="1" x14ac:dyDescent="0.2">
      <c r="A120" s="36"/>
      <c r="B120" s="139" t="str">
        <f>'Expenses Summary'!B75</f>
        <v>5601</v>
      </c>
      <c r="C120" s="139" t="str">
        <f>'Expenses Summary'!C75</f>
        <v>Building Maintenance</v>
      </c>
      <c r="D120" s="64">
        <f>IF('Expenses Summary'!$F75="","",IF('Cash Flow %s Yr3'!D120="","",'Cash Flow %s Yr3'!D120*'Expenses Summary'!$F75))</f>
        <v>69.063452238000011</v>
      </c>
      <c r="E120" s="64">
        <f>IF('Expenses Summary'!$F75="","",IF('Cash Flow %s Yr3'!E120="","",'Cash Flow %s Yr3'!E120*'Expenses Summary'!$F75))</f>
        <v>69.063452238000011</v>
      </c>
      <c r="F120" s="64">
        <f>IF('Expenses Summary'!$F75="","",IF('Cash Flow %s Yr3'!F120="","",'Cash Flow %s Yr3'!F120*'Expenses Summary'!$F75))</f>
        <v>69.063452238000011</v>
      </c>
      <c r="G120" s="64">
        <f>IF('Expenses Summary'!$F75="","",IF('Cash Flow %s Yr3'!G120="","",'Cash Flow %s Yr3'!G120*'Expenses Summary'!$F75))</f>
        <v>69.063452238000011</v>
      </c>
      <c r="H120" s="64">
        <f>IF('Expenses Summary'!$F75="","",IF('Cash Flow %s Yr3'!H120="","",'Cash Flow %s Yr3'!H120*'Expenses Summary'!$F75))</f>
        <v>69.063452238000011</v>
      </c>
      <c r="I120" s="64">
        <f>IF('Expenses Summary'!$F75="","",IF('Cash Flow %s Yr3'!I120="","",'Cash Flow %s Yr3'!I120*'Expenses Summary'!$F75))</f>
        <v>69.063452238000011</v>
      </c>
      <c r="J120" s="64">
        <f>IF('Expenses Summary'!$F75="","",IF('Cash Flow %s Yr3'!J120="","",'Cash Flow %s Yr3'!J120*'Expenses Summary'!$F75))</f>
        <v>69.063452238000011</v>
      </c>
      <c r="K120" s="64">
        <f>IF('Expenses Summary'!$F75="","",IF('Cash Flow %s Yr3'!K120="","",'Cash Flow %s Yr3'!K120*'Expenses Summary'!$F75))</f>
        <v>69.063452238000011</v>
      </c>
      <c r="L120" s="64">
        <f>IF('Expenses Summary'!$F75="","",IF('Cash Flow %s Yr3'!L120="","",'Cash Flow %s Yr3'!L120*'Expenses Summary'!$F75))</f>
        <v>69.895542024000008</v>
      </c>
      <c r="M120" s="64">
        <f>IF('Expenses Summary'!$F75="","",IF('Cash Flow %s Yr3'!M120="","",'Cash Flow %s Yr3'!M120*'Expenses Summary'!$F75))</f>
        <v>69.895542024000008</v>
      </c>
      <c r="N120" s="64">
        <f>IF('Expenses Summary'!$F75="","",IF('Cash Flow %s Yr3'!N120="","",'Cash Flow %s Yr3'!N120*'Expenses Summary'!$F75))</f>
        <v>69.895542024000008</v>
      </c>
      <c r="O120" s="64">
        <f>IF('Expenses Summary'!$F75="","",IF('Cash Flow %s Yr3'!O120="","",'Cash Flow %s Yr3'!O120*'Expenses Summary'!$F75))</f>
        <v>69.895542024000008</v>
      </c>
      <c r="P120" s="129"/>
      <c r="Q120" s="129"/>
      <c r="R120" s="129"/>
      <c r="S120" s="111">
        <f>IF(SUM(D120:R120)&gt;0,SUM(D120:R120)/'Expenses Summary'!$F75,"")</f>
        <v>1</v>
      </c>
    </row>
    <row r="121" spans="1:19" s="31" customFormat="1" x14ac:dyDescent="0.2">
      <c r="A121" s="36"/>
      <c r="B121" s="139" t="str">
        <f>'Expenses Summary'!B76</f>
        <v>5602</v>
      </c>
      <c r="C121" s="139" t="str">
        <f>'Expenses Summary'!C76</f>
        <v>Other Space Rental</v>
      </c>
      <c r="D121" s="64">
        <f>IF('Expenses Summary'!$F76="","",IF('Cash Flow %s Yr3'!D121="","",'Cash Flow %s Yr3'!D121*'Expenses Summary'!$F76))</f>
        <v>96.809845440000004</v>
      </c>
      <c r="E121" s="64">
        <f>IF('Expenses Summary'!$F76="","",IF('Cash Flow %s Yr3'!E121="","",'Cash Flow %s Yr3'!E121*'Expenses Summary'!$F76))</f>
        <v>96.809845440000004</v>
      </c>
      <c r="F121" s="64">
        <f>IF('Expenses Summary'!$F76="","",IF('Cash Flow %s Yr3'!F121="","",'Cash Flow %s Yr3'!F121*'Expenses Summary'!$F76))</f>
        <v>96.809845440000004</v>
      </c>
      <c r="G121" s="64">
        <f>IF('Expenses Summary'!$F76="","",IF('Cash Flow %s Yr3'!G121="","",'Cash Flow %s Yr3'!G121*'Expenses Summary'!$F76))</f>
        <v>96.809845440000004</v>
      </c>
      <c r="H121" s="64">
        <f>IF('Expenses Summary'!$F76="","",IF('Cash Flow %s Yr3'!H121="","",'Cash Flow %s Yr3'!H121*'Expenses Summary'!$F76))</f>
        <v>96.809845440000004</v>
      </c>
      <c r="I121" s="64">
        <f>IF('Expenses Summary'!$F76="","",IF('Cash Flow %s Yr3'!I121="","",'Cash Flow %s Yr3'!I121*'Expenses Summary'!$F76))</f>
        <v>96.809845440000004</v>
      </c>
      <c r="J121" s="64">
        <f>IF('Expenses Summary'!$F76="","",IF('Cash Flow %s Yr3'!J121="","",'Cash Flow %s Yr3'!J121*'Expenses Summary'!$F76))</f>
        <v>96.809845440000004</v>
      </c>
      <c r="K121" s="64">
        <f>IF('Expenses Summary'!$F76="","",IF('Cash Flow %s Yr3'!K121="","",'Cash Flow %s Yr3'!K121*'Expenses Summary'!$F76))</f>
        <v>96.809845440000004</v>
      </c>
      <c r="L121" s="64">
        <f>IF('Expenses Summary'!$F76="","",IF('Cash Flow %s Yr3'!L121="","",'Cash Flow %s Yr3'!L121*'Expenses Summary'!$F76))</f>
        <v>97.976229119999999</v>
      </c>
      <c r="M121" s="64">
        <f>IF('Expenses Summary'!$F76="","",IF('Cash Flow %s Yr3'!M121="","",'Cash Flow %s Yr3'!M121*'Expenses Summary'!$F76))</f>
        <v>97.976229119999999</v>
      </c>
      <c r="N121" s="64">
        <f>IF('Expenses Summary'!$F76="","",IF('Cash Flow %s Yr3'!N121="","",'Cash Flow %s Yr3'!N121*'Expenses Summary'!$F76))</f>
        <v>97.976229119999999</v>
      </c>
      <c r="O121" s="64">
        <f>IF('Expenses Summary'!$F76="","",IF('Cash Flow %s Yr3'!O121="","",'Cash Flow %s Yr3'!O121*'Expenses Summary'!$F76))</f>
        <v>97.976229119999999</v>
      </c>
      <c r="P121" s="129"/>
      <c r="Q121" s="129"/>
      <c r="R121" s="129"/>
      <c r="S121" s="111">
        <f>IF(SUM(D121:R121)&gt;0,SUM(D121:R121)/'Expenses Summary'!$F76,"")</f>
        <v>1</v>
      </c>
    </row>
    <row r="122" spans="1:19" s="31" customFormat="1" x14ac:dyDescent="0.2">
      <c r="A122" s="36"/>
      <c r="B122" s="139" t="str">
        <f>'Expenses Summary'!B77</f>
        <v>5605</v>
      </c>
      <c r="C122" s="139" t="str">
        <f>'Expenses Summary'!C77</f>
        <v>Equipment Rental/Lease Expense</v>
      </c>
      <c r="D122" s="64">
        <f>IF('Expenses Summary'!$F77="","",IF('Cash Flow %s Yr3'!D122="","",'Cash Flow %s Yr3'!D122*'Expenses Summary'!$F77))</f>
        <v>0</v>
      </c>
      <c r="E122" s="64">
        <f>IF('Expenses Summary'!$F77="","",IF('Cash Flow %s Yr3'!E122="","",'Cash Flow %s Yr3'!E122*'Expenses Summary'!$F77))</f>
        <v>0</v>
      </c>
      <c r="F122" s="64">
        <f>IF('Expenses Summary'!$F77="","",IF('Cash Flow %s Yr3'!F122="","",'Cash Flow %s Yr3'!F122*'Expenses Summary'!$F77))</f>
        <v>141.4240212</v>
      </c>
      <c r="G122" s="64">
        <f>IF('Expenses Summary'!$F77="","",IF('Cash Flow %s Yr3'!G122="","",'Cash Flow %s Yr3'!G122*'Expenses Summary'!$F77))</f>
        <v>141.4240212</v>
      </c>
      <c r="H122" s="64">
        <f>IF('Expenses Summary'!$F77="","",IF('Cash Flow %s Yr3'!H122="","",'Cash Flow %s Yr3'!H122*'Expenses Summary'!$F77))</f>
        <v>141.4240212</v>
      </c>
      <c r="I122" s="64">
        <f>IF('Expenses Summary'!$F77="","",IF('Cash Flow %s Yr3'!I122="","",'Cash Flow %s Yr3'!I122*'Expenses Summary'!$F77))</f>
        <v>141.4240212</v>
      </c>
      <c r="J122" s="64">
        <f>IF('Expenses Summary'!$F77="","",IF('Cash Flow %s Yr3'!J122="","",'Cash Flow %s Yr3'!J122*'Expenses Summary'!$F77))</f>
        <v>141.4240212</v>
      </c>
      <c r="K122" s="64">
        <f>IF('Expenses Summary'!$F77="","",IF('Cash Flow %s Yr3'!K122="","",'Cash Flow %s Yr3'!K122*'Expenses Summary'!$F77))</f>
        <v>141.4240212</v>
      </c>
      <c r="L122" s="64">
        <f>IF('Expenses Summary'!$F77="","",IF('Cash Flow %s Yr3'!L122="","",'Cash Flow %s Yr3'!L122*'Expenses Summary'!$F77))</f>
        <v>141.4240212</v>
      </c>
      <c r="M122" s="64">
        <f>IF('Expenses Summary'!$F77="","",IF('Cash Flow %s Yr3'!M122="","",'Cash Flow %s Yr3'!M122*'Expenses Summary'!$F77))</f>
        <v>141.4240212</v>
      </c>
      <c r="N122" s="64">
        <f>IF('Expenses Summary'!$F77="","",IF('Cash Flow %s Yr3'!N122="","",'Cash Flow %s Yr3'!N122*'Expenses Summary'!$F77))</f>
        <v>141.4240212</v>
      </c>
      <c r="O122" s="64">
        <f>IF('Expenses Summary'!$F77="","",IF('Cash Flow %s Yr3'!O122="","",'Cash Flow %s Yr3'!O122*'Expenses Summary'!$F77))</f>
        <v>141.4240212</v>
      </c>
      <c r="P122" s="129"/>
      <c r="Q122" s="129"/>
      <c r="R122" s="129"/>
      <c r="S122" s="111">
        <f>IF(SUM(D122:R122)&gt;0,SUM(D122:R122)/'Expenses Summary'!$F77,"")</f>
        <v>1</v>
      </c>
    </row>
    <row r="123" spans="1:19" s="31" customFormat="1" x14ac:dyDescent="0.2">
      <c r="A123" s="36"/>
      <c r="B123" s="139" t="str">
        <f>'Expenses Summary'!B78</f>
        <v>5610</v>
      </c>
      <c r="C123" s="139" t="str">
        <f>'Expenses Summary'!C78</f>
        <v>Equipment Repair</v>
      </c>
      <c r="D123" s="64">
        <f>IF('Expenses Summary'!$F78="","",IF('Cash Flow %s Yr3'!D123="","",'Cash Flow %s Yr3'!D123*'Expenses Summary'!$F78))</f>
        <v>61.543401744000001</v>
      </c>
      <c r="E123" s="64">
        <f>IF('Expenses Summary'!$F78="","",IF('Cash Flow %s Yr3'!E123="","",'Cash Flow %s Yr3'!E123*'Expenses Summary'!$F78))</f>
        <v>61.543401744000001</v>
      </c>
      <c r="F123" s="64">
        <f>IF('Expenses Summary'!$F78="","",IF('Cash Flow %s Yr3'!F123="","",'Cash Flow %s Yr3'!F123*'Expenses Summary'!$F78))</f>
        <v>61.543401744000001</v>
      </c>
      <c r="G123" s="64">
        <f>IF('Expenses Summary'!$F78="","",IF('Cash Flow %s Yr3'!G123="","",'Cash Flow %s Yr3'!G123*'Expenses Summary'!$F78))</f>
        <v>61.543401744000001</v>
      </c>
      <c r="H123" s="64">
        <f>IF('Expenses Summary'!$F78="","",IF('Cash Flow %s Yr3'!H123="","",'Cash Flow %s Yr3'!H123*'Expenses Summary'!$F78))</f>
        <v>61.543401744000001</v>
      </c>
      <c r="I123" s="64">
        <f>IF('Expenses Summary'!$F78="","",IF('Cash Flow %s Yr3'!I123="","",'Cash Flow %s Yr3'!I123*'Expenses Summary'!$F78))</f>
        <v>61.543401744000001</v>
      </c>
      <c r="J123" s="64">
        <f>IF('Expenses Summary'!$F78="","",IF('Cash Flow %s Yr3'!J123="","",'Cash Flow %s Yr3'!J123*'Expenses Summary'!$F78))</f>
        <v>61.543401744000001</v>
      </c>
      <c r="K123" s="64">
        <f>IF('Expenses Summary'!$F78="","",IF('Cash Flow %s Yr3'!K123="","",'Cash Flow %s Yr3'!K123*'Expenses Summary'!$F78))</f>
        <v>61.543401744000001</v>
      </c>
      <c r="L123" s="64">
        <f>IF('Expenses Summary'!$F78="","",IF('Cash Flow %s Yr3'!L123="","",'Cash Flow %s Yr3'!L123*'Expenses Summary'!$F78))</f>
        <v>62.284888512000002</v>
      </c>
      <c r="M123" s="64">
        <f>IF('Expenses Summary'!$F78="","",IF('Cash Flow %s Yr3'!M123="","",'Cash Flow %s Yr3'!M123*'Expenses Summary'!$F78))</f>
        <v>62.284888512000002</v>
      </c>
      <c r="N123" s="64">
        <f>IF('Expenses Summary'!$F78="","",IF('Cash Flow %s Yr3'!N123="","",'Cash Flow %s Yr3'!N123*'Expenses Summary'!$F78))</f>
        <v>62.284888512000002</v>
      </c>
      <c r="O123" s="64">
        <f>IF('Expenses Summary'!$F78="","",IF('Cash Flow %s Yr3'!O123="","",'Cash Flow %s Yr3'!O123*'Expenses Summary'!$F78))</f>
        <v>62.284888512000002</v>
      </c>
      <c r="P123" s="129"/>
      <c r="Q123" s="129"/>
      <c r="R123" s="129"/>
      <c r="S123" s="111">
        <f>IF(SUM(D123:R123)&gt;0,SUM(D123:R123)/'Expenses Summary'!$F78,"")</f>
        <v>0.99999999999999989</v>
      </c>
    </row>
    <row r="124" spans="1:19" s="31" customFormat="1" x14ac:dyDescent="0.2">
      <c r="A124" s="36"/>
      <c r="B124" s="139" t="str">
        <f>'Expenses Summary'!B79</f>
        <v>5800</v>
      </c>
      <c r="C124" s="139" t="str">
        <f>'Expenses Summary'!C79</f>
        <v>Professional/Consulting Services and Operating Expenditures</v>
      </c>
      <c r="D124" s="64">
        <f>IF('Expenses Summary'!$F79="","",IF('Cash Flow %s Yr3'!D124="","",'Cash Flow %s Yr3'!D124*'Expenses Summary'!$F79))</f>
        <v>2755.7850209999997</v>
      </c>
      <c r="E124" s="64">
        <f>IF('Expenses Summary'!$F79="","",IF('Cash Flow %s Yr3'!E124="","",'Cash Flow %s Yr3'!E124*'Expenses Summary'!$F79))</f>
        <v>2755.7850209999997</v>
      </c>
      <c r="F124" s="64">
        <f>IF('Expenses Summary'!$F79="","",IF('Cash Flow %s Yr3'!F124="","",'Cash Flow %s Yr3'!F124*'Expenses Summary'!$F79))</f>
        <v>4960.4130377999991</v>
      </c>
      <c r="G124" s="64">
        <f>IF('Expenses Summary'!$F79="","",IF('Cash Flow %s Yr3'!G124="","",'Cash Flow %s Yr3'!G124*'Expenses Summary'!$F79))</f>
        <v>4960.4130377999991</v>
      </c>
      <c r="H124" s="64">
        <f>IF('Expenses Summary'!$F79="","",IF('Cash Flow %s Yr3'!H124="","",'Cash Flow %s Yr3'!H124*'Expenses Summary'!$F79))</f>
        <v>4960.4130377999991</v>
      </c>
      <c r="I124" s="64">
        <f>IF('Expenses Summary'!$F79="","",IF('Cash Flow %s Yr3'!I124="","",'Cash Flow %s Yr3'!I124*'Expenses Summary'!$F79))</f>
        <v>4960.4130377999991</v>
      </c>
      <c r="J124" s="64">
        <f>IF('Expenses Summary'!$F79="","",IF('Cash Flow %s Yr3'!J124="","",'Cash Flow %s Yr3'!J124*'Expenses Summary'!$F79))</f>
        <v>4960.4130377999991</v>
      </c>
      <c r="K124" s="64">
        <f>IF('Expenses Summary'!$F79="","",IF('Cash Flow %s Yr3'!K124="","",'Cash Flow %s Yr3'!K124*'Expenses Summary'!$F79))</f>
        <v>4960.4130377999991</v>
      </c>
      <c r="L124" s="64">
        <f>IF('Expenses Summary'!$F79="","",IF('Cash Flow %s Yr3'!L124="","",'Cash Flow %s Yr3'!L124*'Expenses Summary'!$F79))</f>
        <v>4960.4130377999991</v>
      </c>
      <c r="M124" s="64">
        <f>IF('Expenses Summary'!$F79="","",IF('Cash Flow %s Yr3'!M124="","",'Cash Flow %s Yr3'!M124*'Expenses Summary'!$F79))</f>
        <v>4960.4130377999991</v>
      </c>
      <c r="N124" s="64">
        <f>IF('Expenses Summary'!$F79="","",IF('Cash Flow %s Yr3'!N124="","",'Cash Flow %s Yr3'!N124*'Expenses Summary'!$F79))</f>
        <v>4960.4130377999991</v>
      </c>
      <c r="O124" s="64">
        <f>IF('Expenses Summary'!$F79="","",IF('Cash Flow %s Yr3'!O124="","",'Cash Flow %s Yr3'!O124*'Expenses Summary'!$F79))</f>
        <v>4960.4130377999991</v>
      </c>
      <c r="P124" s="129"/>
      <c r="Q124" s="129"/>
      <c r="R124" s="129"/>
      <c r="S124" s="111">
        <f>IF(SUM(D124:R124)&gt;0,SUM(D124:R124)/'Expenses Summary'!$F79,"")</f>
        <v>0.99999999999999978</v>
      </c>
    </row>
    <row r="125" spans="1:19" s="31" customFormat="1" x14ac:dyDescent="0.2">
      <c r="A125" s="36"/>
      <c r="B125" s="139" t="str">
        <f>'Expenses Summary'!B80</f>
        <v>5803</v>
      </c>
      <c r="C125" s="139" t="str">
        <f>'Expenses Summary'!C80</f>
        <v>Banking and Payroll Service Fees</v>
      </c>
      <c r="D125" s="64">
        <f>IF('Expenses Summary'!$F80="","",IF('Cash Flow %s Yr3'!D125="","",'Cash Flow %s Yr3'!D125*'Expenses Summary'!$F80))</f>
        <v>127.20872010000001</v>
      </c>
      <c r="E125" s="64">
        <f>IF('Expenses Summary'!$F80="","",IF('Cash Flow %s Yr3'!E125="","",'Cash Flow %s Yr3'!E125*'Expenses Summary'!$F80))</f>
        <v>127.20872010000001</v>
      </c>
      <c r="F125" s="64">
        <f>IF('Expenses Summary'!$F80="","",IF('Cash Flow %s Yr3'!F125="","",'Cash Flow %s Yr3'!F125*'Expenses Summary'!$F80))</f>
        <v>228.97569618</v>
      </c>
      <c r="G125" s="64">
        <f>IF('Expenses Summary'!$F80="","",IF('Cash Flow %s Yr3'!G125="","",'Cash Flow %s Yr3'!G125*'Expenses Summary'!$F80))</f>
        <v>228.97569618</v>
      </c>
      <c r="H125" s="64">
        <f>IF('Expenses Summary'!$F80="","",IF('Cash Flow %s Yr3'!H125="","",'Cash Flow %s Yr3'!H125*'Expenses Summary'!$F80))</f>
        <v>228.97569618</v>
      </c>
      <c r="I125" s="64">
        <f>IF('Expenses Summary'!$F80="","",IF('Cash Flow %s Yr3'!I125="","",'Cash Flow %s Yr3'!I125*'Expenses Summary'!$F80))</f>
        <v>228.97569618</v>
      </c>
      <c r="J125" s="64">
        <f>IF('Expenses Summary'!$F80="","",IF('Cash Flow %s Yr3'!J125="","",'Cash Flow %s Yr3'!J125*'Expenses Summary'!$F80))</f>
        <v>228.97569618</v>
      </c>
      <c r="K125" s="64">
        <f>IF('Expenses Summary'!$F80="","",IF('Cash Flow %s Yr3'!K125="","",'Cash Flow %s Yr3'!K125*'Expenses Summary'!$F80))</f>
        <v>228.97569618</v>
      </c>
      <c r="L125" s="64">
        <f>IF('Expenses Summary'!$F80="","",IF('Cash Flow %s Yr3'!L125="","",'Cash Flow %s Yr3'!L125*'Expenses Summary'!$F80))</f>
        <v>228.97569618</v>
      </c>
      <c r="M125" s="64">
        <f>IF('Expenses Summary'!$F80="","",IF('Cash Flow %s Yr3'!M125="","",'Cash Flow %s Yr3'!M125*'Expenses Summary'!$F80))</f>
        <v>228.97569618</v>
      </c>
      <c r="N125" s="64">
        <f>IF('Expenses Summary'!$F80="","",IF('Cash Flow %s Yr3'!N125="","",'Cash Flow %s Yr3'!N125*'Expenses Summary'!$F80))</f>
        <v>228.97569618</v>
      </c>
      <c r="O125" s="64">
        <f>IF('Expenses Summary'!$F80="","",IF('Cash Flow %s Yr3'!O125="","",'Cash Flow %s Yr3'!O125*'Expenses Summary'!$F80))</f>
        <v>228.97569618</v>
      </c>
      <c r="P125" s="129"/>
      <c r="Q125" s="129"/>
      <c r="R125" s="129"/>
      <c r="S125" s="111">
        <f>IF(SUM(D125:R125)&gt;0,SUM(D125:R125)/'Expenses Summary'!$F80,"")</f>
        <v>0.99999999999999967</v>
      </c>
    </row>
    <row r="126" spans="1:19" s="31" customFormat="1" x14ac:dyDescent="0.2">
      <c r="A126" s="36"/>
      <c r="B126" s="139" t="str">
        <f>'Expenses Summary'!B81</f>
        <v>5805</v>
      </c>
      <c r="C126" s="139" t="str">
        <f>'Expenses Summary'!C81</f>
        <v>Legal Services and Audit</v>
      </c>
      <c r="D126" s="64">
        <f>IF('Expenses Summary'!$F81="","",IF('Cash Flow %s Yr3'!D126="","",'Cash Flow %s Yr3'!D126*'Expenses Summary'!$F81))</f>
        <v>0</v>
      </c>
      <c r="E126" s="64">
        <f>IF('Expenses Summary'!$F81="","",IF('Cash Flow %s Yr3'!E126="","",'Cash Flow %s Yr3'!E126*'Expenses Summary'!$F81))</f>
        <v>0</v>
      </c>
      <c r="F126" s="64">
        <f>IF('Expenses Summary'!$F81="","",IF('Cash Flow %s Yr3'!F126="","",'Cash Flow %s Yr3'!F126*'Expenses Summary'!$F81))</f>
        <v>0</v>
      </c>
      <c r="G126" s="64">
        <f>IF('Expenses Summary'!$F81="","",IF('Cash Flow %s Yr3'!G126="","",'Cash Flow %s Yr3'!G126*'Expenses Summary'!$F81))</f>
        <v>0</v>
      </c>
      <c r="H126" s="64">
        <f>IF('Expenses Summary'!$F81="","",IF('Cash Flow %s Yr3'!H126="","",'Cash Flow %s Yr3'!H126*'Expenses Summary'!$F81))</f>
        <v>1093.4847</v>
      </c>
      <c r="I126" s="64">
        <f>IF('Expenses Summary'!$F81="","",IF('Cash Flow %s Yr3'!I126="","",'Cash Flow %s Yr3'!I126*'Expenses Summary'!$F81))</f>
        <v>1093.4847</v>
      </c>
      <c r="J126" s="64">
        <f>IF('Expenses Summary'!$F81="","",IF('Cash Flow %s Yr3'!J126="","",'Cash Flow %s Yr3'!J126*'Expenses Summary'!$F81))</f>
        <v>1093.4847</v>
      </c>
      <c r="K126" s="64">
        <f>IF('Expenses Summary'!$F81="","",IF('Cash Flow %s Yr3'!K126="","",'Cash Flow %s Yr3'!K126*'Expenses Summary'!$F81))</f>
        <v>1093.4847</v>
      </c>
      <c r="L126" s="64">
        <f>IF('Expenses Summary'!$F81="","",IF('Cash Flow %s Yr3'!L126="","",'Cash Flow %s Yr3'!L126*'Expenses Summary'!$F81))</f>
        <v>1093.4847</v>
      </c>
      <c r="M126" s="64">
        <f>IF('Expenses Summary'!$F81="","",IF('Cash Flow %s Yr3'!M126="","",'Cash Flow %s Yr3'!M126*'Expenses Summary'!$F81))</f>
        <v>1093.4847</v>
      </c>
      <c r="N126" s="64">
        <f>IF('Expenses Summary'!$F81="","",IF('Cash Flow %s Yr3'!N126="","",'Cash Flow %s Yr3'!N126*'Expenses Summary'!$F81))</f>
        <v>1093.4847</v>
      </c>
      <c r="O126" s="64">
        <f>IF('Expenses Summary'!$F81="","",IF('Cash Flow %s Yr3'!O126="","",'Cash Flow %s Yr3'!O126*'Expenses Summary'!$F81))</f>
        <v>1093.4847</v>
      </c>
      <c r="P126" s="129"/>
      <c r="Q126" s="129"/>
      <c r="R126" s="129"/>
      <c r="S126" s="111">
        <f>IF(SUM(D126:R126)&gt;0,SUM(D126:R126)/'Expenses Summary'!$F81,"")</f>
        <v>1</v>
      </c>
    </row>
    <row r="127" spans="1:19" s="31" customFormat="1" x14ac:dyDescent="0.2">
      <c r="A127" s="36"/>
      <c r="B127" s="139" t="str">
        <f>'Expenses Summary'!B82</f>
        <v>5810</v>
      </c>
      <c r="C127" s="139" t="str">
        <f>'Expenses Summary'!C82</f>
        <v>Educational Consultants</v>
      </c>
      <c r="D127" s="64">
        <f>IF('Expenses Summary'!$F82="","",IF('Cash Flow %s Yr3'!D127="","",'Cash Flow %s Yr3'!D127*'Expenses Summary'!$F82))</f>
        <v>1564.4487342000002</v>
      </c>
      <c r="E127" s="64">
        <f>IF('Expenses Summary'!$F82="","",IF('Cash Flow %s Yr3'!E127="","",'Cash Flow %s Yr3'!E127*'Expenses Summary'!$F82))</f>
        <v>1564.4487342000002</v>
      </c>
      <c r="F127" s="64">
        <f>IF('Expenses Summary'!$F82="","",IF('Cash Flow %s Yr3'!F127="","",'Cash Flow %s Yr3'!F127*'Expenses Summary'!$F82))</f>
        <v>2816.0077215599999</v>
      </c>
      <c r="G127" s="64">
        <f>IF('Expenses Summary'!$F82="","",IF('Cash Flow %s Yr3'!G127="","",'Cash Flow %s Yr3'!G127*'Expenses Summary'!$F82))</f>
        <v>2816.0077215599999</v>
      </c>
      <c r="H127" s="64">
        <f>IF('Expenses Summary'!$F82="","",IF('Cash Flow %s Yr3'!H127="","",'Cash Flow %s Yr3'!H127*'Expenses Summary'!$F82))</f>
        <v>2816.0077215599999</v>
      </c>
      <c r="I127" s="64">
        <f>IF('Expenses Summary'!$F82="","",IF('Cash Flow %s Yr3'!I127="","",'Cash Flow %s Yr3'!I127*'Expenses Summary'!$F82))</f>
        <v>2816.0077215599999</v>
      </c>
      <c r="J127" s="64">
        <f>IF('Expenses Summary'!$F82="","",IF('Cash Flow %s Yr3'!J127="","",'Cash Flow %s Yr3'!J127*'Expenses Summary'!$F82))</f>
        <v>2816.0077215599999</v>
      </c>
      <c r="K127" s="64">
        <f>IF('Expenses Summary'!$F82="","",IF('Cash Flow %s Yr3'!K127="","",'Cash Flow %s Yr3'!K127*'Expenses Summary'!$F82))</f>
        <v>2816.0077215599999</v>
      </c>
      <c r="L127" s="64">
        <f>IF('Expenses Summary'!$F82="","",IF('Cash Flow %s Yr3'!L127="","",'Cash Flow %s Yr3'!L127*'Expenses Summary'!$F82))</f>
        <v>2816.0077215599999</v>
      </c>
      <c r="M127" s="64">
        <f>IF('Expenses Summary'!$F82="","",IF('Cash Flow %s Yr3'!M127="","",'Cash Flow %s Yr3'!M127*'Expenses Summary'!$F82))</f>
        <v>2816.0077215599999</v>
      </c>
      <c r="N127" s="64">
        <f>IF('Expenses Summary'!$F82="","",IF('Cash Flow %s Yr3'!N127="","",'Cash Flow %s Yr3'!N127*'Expenses Summary'!$F82))</f>
        <v>2816.0077215599999</v>
      </c>
      <c r="O127" s="64">
        <f>IF('Expenses Summary'!$F82="","",IF('Cash Flow %s Yr3'!O127="","",'Cash Flow %s Yr3'!O127*'Expenses Summary'!$F82))</f>
        <v>2816.0077215599999</v>
      </c>
      <c r="P127" s="129"/>
      <c r="Q127" s="129"/>
      <c r="R127" s="129"/>
      <c r="S127" s="111">
        <f>IF(SUM(D127:R127)&gt;0,SUM(D127:R127)/'Expenses Summary'!$F82,"")</f>
        <v>0.99999999999999989</v>
      </c>
    </row>
    <row r="128" spans="1:19" s="31" customFormat="1" x14ac:dyDescent="0.2">
      <c r="A128" s="36"/>
      <c r="B128" s="139" t="str">
        <f>'Expenses Summary'!B83</f>
        <v>5815</v>
      </c>
      <c r="C128" s="139" t="str">
        <f>'Expenses Summary'!C83</f>
        <v>Advertising / Recruiting</v>
      </c>
      <c r="D128" s="64">
        <f>IF('Expenses Summary'!$F83="","",IF('Cash Flow %s Yr3'!D128="","",'Cash Flow %s Yr3'!D128*'Expenses Summary'!$F83))</f>
        <v>0</v>
      </c>
      <c r="E128" s="64">
        <f>IF('Expenses Summary'!$F83="","",IF('Cash Flow %s Yr3'!E128="","",'Cash Flow %s Yr3'!E128*'Expenses Summary'!$F83))</f>
        <v>0</v>
      </c>
      <c r="F128" s="64">
        <f>IF('Expenses Summary'!$F83="","",IF('Cash Flow %s Yr3'!F128="","",'Cash Flow %s Yr3'!F128*'Expenses Summary'!$F83))</f>
        <v>61.651708800000009</v>
      </c>
      <c r="G128" s="64">
        <f>IF('Expenses Summary'!$F83="","",IF('Cash Flow %s Yr3'!G128="","",'Cash Flow %s Yr3'!G128*'Expenses Summary'!$F83))</f>
        <v>61.651708800000009</v>
      </c>
      <c r="H128" s="64">
        <f>IF('Expenses Summary'!$F83="","",IF('Cash Flow %s Yr3'!H128="","",'Cash Flow %s Yr3'!H128*'Expenses Summary'!$F83))</f>
        <v>61.651708800000009</v>
      </c>
      <c r="I128" s="64">
        <f>IF('Expenses Summary'!$F83="","",IF('Cash Flow %s Yr3'!I128="","",'Cash Flow %s Yr3'!I128*'Expenses Summary'!$F83))</f>
        <v>61.651708800000009</v>
      </c>
      <c r="J128" s="64">
        <f>IF('Expenses Summary'!$F83="","",IF('Cash Flow %s Yr3'!J128="","",'Cash Flow %s Yr3'!J128*'Expenses Summary'!$F83))</f>
        <v>61.651708800000009</v>
      </c>
      <c r="K128" s="64">
        <f>IF('Expenses Summary'!$F83="","",IF('Cash Flow %s Yr3'!K128="","",'Cash Flow %s Yr3'!K128*'Expenses Summary'!$F83))</f>
        <v>61.651708800000009</v>
      </c>
      <c r="L128" s="64">
        <f>IF('Expenses Summary'!$F83="","",IF('Cash Flow %s Yr3'!L128="","",'Cash Flow %s Yr3'!L128*'Expenses Summary'!$F83))</f>
        <v>61.651708800000009</v>
      </c>
      <c r="M128" s="64">
        <f>IF('Expenses Summary'!$F83="","",IF('Cash Flow %s Yr3'!M128="","",'Cash Flow %s Yr3'!M128*'Expenses Summary'!$F83))</f>
        <v>61.651708800000009</v>
      </c>
      <c r="N128" s="64">
        <f>IF('Expenses Summary'!$F83="","",IF('Cash Flow %s Yr3'!N128="","",'Cash Flow %s Yr3'!N128*'Expenses Summary'!$F83))</f>
        <v>61.651708800000009</v>
      </c>
      <c r="O128" s="64">
        <f>IF('Expenses Summary'!$F83="","",IF('Cash Flow %s Yr3'!O128="","",'Cash Flow %s Yr3'!O128*'Expenses Summary'!$F83))</f>
        <v>61.651708800000009</v>
      </c>
      <c r="P128" s="129"/>
      <c r="Q128" s="129"/>
      <c r="R128" s="129"/>
      <c r="S128" s="111">
        <f>IF(SUM(D128:R128)&gt;0,SUM(D128:R128)/'Expenses Summary'!$F83,"")</f>
        <v>1</v>
      </c>
    </row>
    <row r="129" spans="1:19" s="31" customFormat="1" x14ac:dyDescent="0.2">
      <c r="A129" s="36"/>
      <c r="B129" s="139" t="str">
        <f>'Expenses Summary'!B84</f>
        <v>5820</v>
      </c>
      <c r="C129" s="139" t="str">
        <f>'Expenses Summary'!C84</f>
        <v>Fundraising Expense</v>
      </c>
      <c r="D129" s="64">
        <f>IF('Expenses Summary'!$F84="","",IF('Cash Flow %s Yr3'!D129="","",'Cash Flow %s Yr3'!D129*'Expenses Summary'!$F84))</f>
        <v>0</v>
      </c>
      <c r="E129" s="64">
        <f>IF('Expenses Summary'!$F84="","",IF('Cash Flow %s Yr3'!E129="","",'Cash Flow %s Yr3'!E129*'Expenses Summary'!$F84))</f>
        <v>0</v>
      </c>
      <c r="F129" s="64">
        <f>IF('Expenses Summary'!$F84="","",IF('Cash Flow %s Yr3'!F129="","",'Cash Flow %s Yr3'!F129*'Expenses Summary'!$F84))</f>
        <v>4114.4184311999998</v>
      </c>
      <c r="G129" s="64">
        <f>IF('Expenses Summary'!$F84="","",IF('Cash Flow %s Yr3'!G129="","",'Cash Flow %s Yr3'!G129*'Expenses Summary'!$F84))</f>
        <v>4114.4184311999998</v>
      </c>
      <c r="H129" s="64">
        <f>IF('Expenses Summary'!$F84="","",IF('Cash Flow %s Yr3'!H129="","",'Cash Flow %s Yr3'!H129*'Expenses Summary'!$F84))</f>
        <v>4114.4184311999998</v>
      </c>
      <c r="I129" s="64">
        <f>IF('Expenses Summary'!$F84="","",IF('Cash Flow %s Yr3'!I129="","",'Cash Flow %s Yr3'!I129*'Expenses Summary'!$F84))</f>
        <v>4114.4184311999998</v>
      </c>
      <c r="J129" s="64">
        <f>IF('Expenses Summary'!$F84="","",IF('Cash Flow %s Yr3'!J129="","",'Cash Flow %s Yr3'!J129*'Expenses Summary'!$F84))</f>
        <v>4114.4184311999998</v>
      </c>
      <c r="K129" s="64">
        <f>IF('Expenses Summary'!$F84="","",IF('Cash Flow %s Yr3'!K129="","",'Cash Flow %s Yr3'!K129*'Expenses Summary'!$F84))</f>
        <v>4114.4184311999998</v>
      </c>
      <c r="L129" s="64">
        <f>IF('Expenses Summary'!$F84="","",IF('Cash Flow %s Yr3'!L129="","",'Cash Flow %s Yr3'!L129*'Expenses Summary'!$F84))</f>
        <v>4114.4184311999998</v>
      </c>
      <c r="M129" s="64">
        <f>IF('Expenses Summary'!$F84="","",IF('Cash Flow %s Yr3'!M129="","",'Cash Flow %s Yr3'!M129*'Expenses Summary'!$F84))</f>
        <v>4114.4184311999998</v>
      </c>
      <c r="N129" s="64">
        <f>IF('Expenses Summary'!$F84="","",IF('Cash Flow %s Yr3'!N129="","",'Cash Flow %s Yr3'!N129*'Expenses Summary'!$F84))</f>
        <v>4114.4184311999998</v>
      </c>
      <c r="O129" s="64">
        <f>IF('Expenses Summary'!$F84="","",IF('Cash Flow %s Yr3'!O129="","",'Cash Flow %s Yr3'!O129*'Expenses Summary'!$F84))</f>
        <v>4114.4184311999998</v>
      </c>
      <c r="P129" s="129"/>
      <c r="Q129" s="129"/>
      <c r="R129" s="129"/>
      <c r="S129" s="111">
        <f>IF(SUM(D129:R129)&gt;0,SUM(D129:R129)/'Expenses Summary'!$F84,"")</f>
        <v>1</v>
      </c>
    </row>
    <row r="130" spans="1:19" s="31" customFormat="1" x14ac:dyDescent="0.2">
      <c r="A130" s="36"/>
      <c r="B130" s="139" t="str">
        <f>'Expenses Summary'!B85</f>
        <v>5875</v>
      </c>
      <c r="C130" s="139" t="str">
        <f>'Expenses Summary'!C85</f>
        <v>District Oversight Fee</v>
      </c>
      <c r="D130" s="64">
        <f>IF('Expenses Summary'!$F85="","",IF('Cash Flow %s Yr3'!D130="","",'Cash Flow %s Yr3'!D130*'Expenses Summary'!$F85))</f>
        <v>2144.4636514971617</v>
      </c>
      <c r="E130" s="64">
        <f>IF('Expenses Summary'!$F85="","",IF('Cash Flow %s Yr3'!E130="","",'Cash Flow %s Yr3'!E130*'Expenses Summary'!$F85))</f>
        <v>0</v>
      </c>
      <c r="F130" s="64">
        <f>IF('Expenses Summary'!$F85="","",IF('Cash Flow %s Yr3'!F130="","",'Cash Flow %s Yr3'!F130*'Expenses Summary'!$F85))</f>
        <v>0</v>
      </c>
      <c r="G130" s="64">
        <f>IF('Expenses Summary'!$F85="","",IF('Cash Flow %s Yr3'!G130="","",'Cash Flow %s Yr3'!G130*'Expenses Summary'!$F85))</f>
        <v>0</v>
      </c>
      <c r="H130" s="64">
        <f>IF('Expenses Summary'!$F85="","",IF('Cash Flow %s Yr3'!H130="","",'Cash Flow %s Yr3'!H130*'Expenses Summary'!$F85))</f>
        <v>1666.7236743069295</v>
      </c>
      <c r="I130" s="64">
        <f>IF('Expenses Summary'!$F85="","",IF('Cash Flow %s Yr3'!I130="","",'Cash Flow %s Yr3'!I130*'Expenses Summary'!$F85))</f>
        <v>0</v>
      </c>
      <c r="J130" s="64">
        <f>IF('Expenses Summary'!$F85="","",IF('Cash Flow %s Yr3'!J130="","",'Cash Flow %s Yr3'!J130*'Expenses Summary'!$F85))</f>
        <v>2617.7515151190719</v>
      </c>
      <c r="K130" s="64">
        <f>IF('Expenses Summary'!$F85="","",IF('Cash Flow %s Yr3'!K130="","",'Cash Flow %s Yr3'!K130*'Expenses Summary'!$F85))</f>
        <v>0</v>
      </c>
      <c r="L130" s="64">
        <f>IF('Expenses Summary'!$F85="","",IF('Cash Flow %s Yr3'!L130="","",'Cash Flow %s Yr3'!L130*'Expenses Summary'!$F85))</f>
        <v>0</v>
      </c>
      <c r="M130" s="64">
        <f>IF('Expenses Summary'!$F85="","",IF('Cash Flow %s Yr3'!M130="","",'Cash Flow %s Yr3'!M130*'Expenses Summary'!$F85))</f>
        <v>2617.7515151190719</v>
      </c>
      <c r="N130" s="64">
        <f>IF('Expenses Summary'!$F85="","",IF('Cash Flow %s Yr3'!N130="","",'Cash Flow %s Yr3'!N130*'Expenses Summary'!$F85))</f>
        <v>0</v>
      </c>
      <c r="O130" s="64">
        <f>IF('Expenses Summary'!$F85="","",IF('Cash Flow %s Yr3'!O130="","",'Cash Flow %s Yr3'!O130*'Expenses Summary'!$F85))</f>
        <v>0</v>
      </c>
      <c r="P130" s="129"/>
      <c r="Q130" s="129"/>
      <c r="R130" s="129"/>
      <c r="S130" s="111">
        <f>IF(SUM(D130:R130)&gt;0,SUM(D130:R130)/'Expenses Summary'!$F85,"")</f>
        <v>0.99999954400000013</v>
      </c>
    </row>
    <row r="131" spans="1:19" s="31" customFormat="1" x14ac:dyDescent="0.2">
      <c r="A131" s="36"/>
      <c r="B131" s="139" t="str">
        <f>'Expenses Summary'!B86</f>
        <v>5890</v>
      </c>
      <c r="C131" s="139" t="str">
        <f>'Expenses Summary'!C86</f>
        <v>Interest Expense / Misc. Fees</v>
      </c>
      <c r="D131" s="64">
        <f>IF('Expenses Summary'!$F86="","",IF('Cash Flow %s Yr3'!D131="","",'Cash Flow %s Yr3'!D131*'Expenses Summary'!$F86))</f>
        <v>23.951132753723996</v>
      </c>
      <c r="E131" s="64">
        <f>IF('Expenses Summary'!$F86="","",IF('Cash Flow %s Yr3'!E131="","",'Cash Flow %s Yr3'!E131*'Expenses Summary'!$F86))</f>
        <v>23.951132753723996</v>
      </c>
      <c r="F131" s="64">
        <f>IF('Expenses Summary'!$F86="","",IF('Cash Flow %s Yr3'!F131="","",'Cash Flow %s Yr3'!F131*'Expenses Summary'!$F86))</f>
        <v>23.951132753723996</v>
      </c>
      <c r="G131" s="64">
        <f>IF('Expenses Summary'!$F86="","",IF('Cash Flow %s Yr3'!G131="","",'Cash Flow %s Yr3'!G131*'Expenses Summary'!$F86))</f>
        <v>23.951132753723996</v>
      </c>
      <c r="H131" s="64">
        <f>IF('Expenses Summary'!$F86="","",IF('Cash Flow %s Yr3'!H131="","",'Cash Flow %s Yr3'!H131*'Expenses Summary'!$F86))</f>
        <v>23.951132753723996</v>
      </c>
      <c r="I131" s="64">
        <f>IF('Expenses Summary'!$F86="","",IF('Cash Flow %s Yr3'!I131="","",'Cash Flow %s Yr3'!I131*'Expenses Summary'!$F86))</f>
        <v>23.951132753723996</v>
      </c>
      <c r="J131" s="64">
        <f>IF('Expenses Summary'!$F86="","",IF('Cash Flow %s Yr3'!J131="","",'Cash Flow %s Yr3'!J131*'Expenses Summary'!$F86))</f>
        <v>23.951132753723996</v>
      </c>
      <c r="K131" s="64">
        <f>IF('Expenses Summary'!$F86="","",IF('Cash Flow %s Yr3'!K131="","",'Cash Flow %s Yr3'!K131*'Expenses Summary'!$F86))</f>
        <v>23.951132753723996</v>
      </c>
      <c r="L131" s="64">
        <f>IF('Expenses Summary'!$F86="","",IF('Cash Flow %s Yr3'!L131="","",'Cash Flow %s Yr3'!L131*'Expenses Summary'!$F86))</f>
        <v>23.951132753723996</v>
      </c>
      <c r="M131" s="64">
        <f>IF('Expenses Summary'!$F86="","",IF('Cash Flow %s Yr3'!M131="","",'Cash Flow %s Yr3'!M131*'Expenses Summary'!$F86))</f>
        <v>23.951132753723996</v>
      </c>
      <c r="N131" s="64">
        <f>IF('Expenses Summary'!$F86="","",IF('Cash Flow %s Yr3'!N131="","",'Cash Flow %s Yr3'!N131*'Expenses Summary'!$F86))</f>
        <v>23.951132753723996</v>
      </c>
      <c r="O131" s="64">
        <f>IF('Expenses Summary'!$F86="","",IF('Cash Flow %s Yr3'!O131="","",'Cash Flow %s Yr3'!O131*'Expenses Summary'!$F86))</f>
        <v>23.967659993903997</v>
      </c>
      <c r="P131" s="129"/>
      <c r="Q131" s="129"/>
      <c r="R131" s="129"/>
      <c r="S131" s="111">
        <f>IF(SUM(D131:R131)&gt;0,SUM(D131:R131)/'Expenses Summary'!$F86,"")</f>
        <v>0.99999949999999993</v>
      </c>
    </row>
    <row r="132" spans="1:19" s="31" customFormat="1" x14ac:dyDescent="0.2">
      <c r="A132" s="36"/>
      <c r="B132" s="139" t="str">
        <f>'Expenses Summary'!B87</f>
        <v>5891</v>
      </c>
      <c r="C132" s="139" t="str">
        <f>'Expenses Summary'!C87</f>
        <v>Charter School Capital Fees</v>
      </c>
      <c r="D132" s="64">
        <f>IF('Expenses Summary'!$F87="","",IF('Cash Flow %s Yr3'!D132="","",'Cash Flow %s Yr3'!D132*'Expenses Summary'!$F87))</f>
        <v>0</v>
      </c>
      <c r="E132" s="64">
        <f>IF('Expenses Summary'!$F87="","",IF('Cash Flow %s Yr3'!E132="","",'Cash Flow %s Yr3'!E132*'Expenses Summary'!$F87))</f>
        <v>0</v>
      </c>
      <c r="F132" s="64">
        <f>IF('Expenses Summary'!$F87="","",IF('Cash Flow %s Yr3'!F132="","",'Cash Flow %s Yr3'!F132*'Expenses Summary'!$F87))</f>
        <v>0</v>
      </c>
      <c r="G132" s="64">
        <f>IF('Expenses Summary'!$F87="","",IF('Cash Flow %s Yr3'!G132="","",'Cash Flow %s Yr3'!G132*'Expenses Summary'!$F87))</f>
        <v>0</v>
      </c>
      <c r="H132" s="64">
        <f>IF('Expenses Summary'!$F87="","",IF('Cash Flow %s Yr3'!H132="","",'Cash Flow %s Yr3'!H132*'Expenses Summary'!$F87))</f>
        <v>0</v>
      </c>
      <c r="I132" s="64">
        <f>IF('Expenses Summary'!$F87="","",IF('Cash Flow %s Yr3'!I132="","",'Cash Flow %s Yr3'!I132*'Expenses Summary'!$F87))</f>
        <v>0</v>
      </c>
      <c r="J132" s="64">
        <f>IF('Expenses Summary'!$F87="","",IF('Cash Flow %s Yr3'!J132="","",'Cash Flow %s Yr3'!J132*'Expenses Summary'!$F87))</f>
        <v>0</v>
      </c>
      <c r="K132" s="64">
        <f>IF('Expenses Summary'!$F87="","",IF('Cash Flow %s Yr3'!K132="","",'Cash Flow %s Yr3'!K132*'Expenses Summary'!$F87))</f>
        <v>0</v>
      </c>
      <c r="L132" s="64">
        <f>IF('Expenses Summary'!$F87="","",IF('Cash Flow %s Yr3'!L132="","",'Cash Flow %s Yr3'!L132*'Expenses Summary'!$F87))</f>
        <v>0</v>
      </c>
      <c r="M132" s="64">
        <f>IF('Expenses Summary'!$F87="","",IF('Cash Flow %s Yr3'!M132="","",'Cash Flow %s Yr3'!M132*'Expenses Summary'!$F87))</f>
        <v>0</v>
      </c>
      <c r="N132" s="64">
        <f>IF('Expenses Summary'!$F87="","",IF('Cash Flow %s Yr3'!N132="","",'Cash Flow %s Yr3'!N132*'Expenses Summary'!$F87))</f>
        <v>0</v>
      </c>
      <c r="O132" s="64">
        <f>IF('Expenses Summary'!$F87="","",IF('Cash Flow %s Yr3'!O132="","",'Cash Flow %s Yr3'!O132*'Expenses Summary'!$F87))</f>
        <v>0</v>
      </c>
      <c r="P132" s="129"/>
      <c r="Q132" s="129"/>
      <c r="R132" s="129"/>
      <c r="S132" s="111" t="str">
        <f>IF(SUM(D132:R132)&gt;0,SUM(D132:R132)/'Expenses Summary'!$F87,"")</f>
        <v/>
      </c>
    </row>
    <row r="133" spans="1:19" s="31" customFormat="1" hidden="1" outlineLevel="1" x14ac:dyDescent="0.2">
      <c r="A133" s="36"/>
      <c r="B133" s="139" t="str">
        <f>'Expenses Summary'!B88</f>
        <v>5899</v>
      </c>
      <c r="C133" s="139" t="str">
        <f>'Expenses Summary'!C88</f>
        <v>CMO Management Fee</v>
      </c>
      <c r="D133" s="64">
        <f>IF('Expenses Summary'!$F88="","",IF('Cash Flow %s Yr3'!D133="","",'Cash Flow %s Yr3'!D133*'Expenses Summary'!$F88))</f>
        <v>0</v>
      </c>
      <c r="E133" s="64">
        <f>IF('Expenses Summary'!$F88="","",IF('Cash Flow %s Yr3'!E133="","",'Cash Flow %s Yr3'!E133*'Expenses Summary'!$F88))</f>
        <v>0</v>
      </c>
      <c r="F133" s="64">
        <f>IF('Expenses Summary'!$F88="","",IF('Cash Flow %s Yr3'!F133="","",'Cash Flow %s Yr3'!F133*'Expenses Summary'!$F88))</f>
        <v>0</v>
      </c>
      <c r="G133" s="64">
        <f>IF('Expenses Summary'!$F88="","",IF('Cash Flow %s Yr3'!G133="","",'Cash Flow %s Yr3'!G133*'Expenses Summary'!$F88))</f>
        <v>0</v>
      </c>
      <c r="H133" s="64">
        <f>IF('Expenses Summary'!$F88="","",IF('Cash Flow %s Yr3'!H133="","",'Cash Flow %s Yr3'!H133*'Expenses Summary'!$F88))</f>
        <v>0</v>
      </c>
      <c r="I133" s="64">
        <f>IF('Expenses Summary'!$F88="","",IF('Cash Flow %s Yr3'!I133="","",'Cash Flow %s Yr3'!I133*'Expenses Summary'!$F88))</f>
        <v>0</v>
      </c>
      <c r="J133" s="64">
        <f>IF('Expenses Summary'!$F88="","",IF('Cash Flow %s Yr3'!J133="","",'Cash Flow %s Yr3'!J133*'Expenses Summary'!$F88))</f>
        <v>0</v>
      </c>
      <c r="K133" s="64">
        <f>IF('Expenses Summary'!$F88="","",IF('Cash Flow %s Yr3'!K133="","",'Cash Flow %s Yr3'!K133*'Expenses Summary'!$F88))</f>
        <v>0</v>
      </c>
      <c r="L133" s="64">
        <f>IF('Expenses Summary'!$F88="","",IF('Cash Flow %s Yr3'!L133="","",'Cash Flow %s Yr3'!L133*'Expenses Summary'!$F88))</f>
        <v>0</v>
      </c>
      <c r="M133" s="64">
        <f>IF('Expenses Summary'!$F88="","",IF('Cash Flow %s Yr3'!M133="","",'Cash Flow %s Yr3'!M133*'Expenses Summary'!$F88))</f>
        <v>0</v>
      </c>
      <c r="N133" s="64">
        <f>IF('Expenses Summary'!$F88="","",IF('Cash Flow %s Yr3'!N133="","",'Cash Flow %s Yr3'!N133*'Expenses Summary'!$F88))</f>
        <v>0</v>
      </c>
      <c r="O133" s="64">
        <f>IF('Expenses Summary'!$F88="","",IF('Cash Flow %s Yr3'!O133="","",'Cash Flow %s Yr3'!O133*'Expenses Summary'!$F88))</f>
        <v>0</v>
      </c>
      <c r="P133" s="129"/>
      <c r="Q133" s="129"/>
      <c r="R133" s="129"/>
      <c r="S133" s="111"/>
    </row>
    <row r="134" spans="1:19" s="31" customFormat="1" hidden="1" outlineLevel="1" x14ac:dyDescent="0.2">
      <c r="A134" s="36"/>
      <c r="B134" s="139" t="str">
        <f>'Expenses Summary'!B89</f>
        <v>5900</v>
      </c>
      <c r="C134" s="139" t="str">
        <f>'Expenses Summary'!C89</f>
        <v>Communications</v>
      </c>
      <c r="D134" s="64">
        <f>IF('Expenses Summary'!$F89="","",IF('Cash Flow %s Yr3'!D134="","",'Cash Flow %s Yr3'!D134*'Expenses Summary'!$F89))</f>
        <v>0</v>
      </c>
      <c r="E134" s="64">
        <f>IF('Expenses Summary'!$F89="","",IF('Cash Flow %s Yr3'!E134="","",'Cash Flow %s Yr3'!E134*'Expenses Summary'!$F89))</f>
        <v>0</v>
      </c>
      <c r="F134" s="64">
        <f>IF('Expenses Summary'!$F89="","",IF('Cash Flow %s Yr3'!F134="","",'Cash Flow %s Yr3'!F134*'Expenses Summary'!$F89))</f>
        <v>396.57045119999998</v>
      </c>
      <c r="G134" s="64">
        <f>IF('Expenses Summary'!$F89="","",IF('Cash Flow %s Yr3'!G134="","",'Cash Flow %s Yr3'!G134*'Expenses Summary'!$F89))</f>
        <v>396.57045119999998</v>
      </c>
      <c r="H134" s="64">
        <f>IF('Expenses Summary'!$F89="","",IF('Cash Flow %s Yr3'!H134="","",'Cash Flow %s Yr3'!H134*'Expenses Summary'!$F89))</f>
        <v>396.57045119999998</v>
      </c>
      <c r="I134" s="64">
        <f>IF('Expenses Summary'!$F89="","",IF('Cash Flow %s Yr3'!I134="","",'Cash Flow %s Yr3'!I134*'Expenses Summary'!$F89))</f>
        <v>396.57045119999998</v>
      </c>
      <c r="J134" s="64">
        <f>IF('Expenses Summary'!$F89="","",IF('Cash Flow %s Yr3'!J134="","",'Cash Flow %s Yr3'!J134*'Expenses Summary'!$F89))</f>
        <v>396.57045119999998</v>
      </c>
      <c r="K134" s="64">
        <f>IF('Expenses Summary'!$F89="","",IF('Cash Flow %s Yr3'!K134="","",'Cash Flow %s Yr3'!K134*'Expenses Summary'!$F89))</f>
        <v>396.57045119999998</v>
      </c>
      <c r="L134" s="64">
        <f>IF('Expenses Summary'!$F89="","",IF('Cash Flow %s Yr3'!L134="","",'Cash Flow %s Yr3'!L134*'Expenses Summary'!$F89))</f>
        <v>396.57045119999998</v>
      </c>
      <c r="M134" s="64">
        <f>IF('Expenses Summary'!$F89="","",IF('Cash Flow %s Yr3'!M134="","",'Cash Flow %s Yr3'!M134*'Expenses Summary'!$F89))</f>
        <v>396.57045119999998</v>
      </c>
      <c r="N134" s="64">
        <f>IF('Expenses Summary'!$F89="","",IF('Cash Flow %s Yr3'!N134="","",'Cash Flow %s Yr3'!N134*'Expenses Summary'!$F89))</f>
        <v>396.57045119999998</v>
      </c>
      <c r="O134" s="64">
        <f>IF('Expenses Summary'!$F89="","",IF('Cash Flow %s Yr3'!O134="","",'Cash Flow %s Yr3'!O134*'Expenses Summary'!$F89))</f>
        <v>396.57045119999998</v>
      </c>
      <c r="P134" s="129"/>
      <c r="Q134" s="129"/>
      <c r="R134" s="129"/>
      <c r="S134" s="111"/>
    </row>
    <row r="135" spans="1:19" s="31" customFormat="1" hidden="1" outlineLevel="1" x14ac:dyDescent="0.2">
      <c r="A135" s="36"/>
      <c r="B135" s="139">
        <f>'Expenses Summary'!B90</f>
        <v>0</v>
      </c>
      <c r="C135" s="139">
        <f>'Expenses Summary'!C90</f>
        <v>0</v>
      </c>
      <c r="D135" s="64" t="str">
        <f>IF('Expenses Summary'!$F90="","",IF('Cash Flow %s Yr3'!D135="","",'Cash Flow %s Yr3'!D135*'Expenses Summary'!$F90))</f>
        <v/>
      </c>
      <c r="E135" s="64" t="str">
        <f>IF('Expenses Summary'!$F90="","",IF('Cash Flow %s Yr3'!E135="","",'Cash Flow %s Yr3'!E135*'Expenses Summary'!$F90))</f>
        <v/>
      </c>
      <c r="F135" s="64" t="str">
        <f>IF('Expenses Summary'!$F90="","",IF('Cash Flow %s Yr3'!F135="","",'Cash Flow %s Yr3'!F135*'Expenses Summary'!$F90))</f>
        <v/>
      </c>
      <c r="G135" s="64" t="str">
        <f>IF('Expenses Summary'!$F90="","",IF('Cash Flow %s Yr3'!G135="","",'Cash Flow %s Yr3'!G135*'Expenses Summary'!$F90))</f>
        <v/>
      </c>
      <c r="H135" s="64" t="str">
        <f>IF('Expenses Summary'!$F90="","",IF('Cash Flow %s Yr3'!H135="","",'Cash Flow %s Yr3'!H135*'Expenses Summary'!$F90))</f>
        <v/>
      </c>
      <c r="I135" s="64" t="str">
        <f>IF('Expenses Summary'!$F90="","",IF('Cash Flow %s Yr3'!I135="","",'Cash Flow %s Yr3'!I135*'Expenses Summary'!$F90))</f>
        <v/>
      </c>
      <c r="J135" s="64" t="str">
        <f>IF('Expenses Summary'!$F90="","",IF('Cash Flow %s Yr3'!J135="","",'Cash Flow %s Yr3'!J135*'Expenses Summary'!$F90))</f>
        <v/>
      </c>
      <c r="K135" s="64" t="str">
        <f>IF('Expenses Summary'!$F90="","",IF('Cash Flow %s Yr3'!K135="","",'Cash Flow %s Yr3'!K135*'Expenses Summary'!$F90))</f>
        <v/>
      </c>
      <c r="L135" s="64" t="str">
        <f>IF('Expenses Summary'!$F90="","",IF('Cash Flow %s Yr3'!L135="","",'Cash Flow %s Yr3'!L135*'Expenses Summary'!$F90))</f>
        <v/>
      </c>
      <c r="M135" s="64" t="str">
        <f>IF('Expenses Summary'!$F90="","",IF('Cash Flow %s Yr3'!M135="","",'Cash Flow %s Yr3'!M135*'Expenses Summary'!$F90))</f>
        <v/>
      </c>
      <c r="N135" s="64" t="str">
        <f>IF('Expenses Summary'!$F90="","",IF('Cash Flow %s Yr3'!N135="","",'Cash Flow %s Yr3'!N135*'Expenses Summary'!$F90))</f>
        <v/>
      </c>
      <c r="O135" s="64" t="str">
        <f>IF('Expenses Summary'!$F90="","",IF('Cash Flow %s Yr3'!O135="","",'Cash Flow %s Yr3'!O135*'Expenses Summary'!$F90))</f>
        <v/>
      </c>
      <c r="P135" s="129"/>
      <c r="Q135" s="129"/>
      <c r="R135" s="129"/>
      <c r="S135" s="111"/>
    </row>
    <row r="136" spans="1:19" s="31" customFormat="1" hidden="1" outlineLevel="1" x14ac:dyDescent="0.2">
      <c r="A136" s="36"/>
      <c r="B136" s="139">
        <f>'Expenses Summary'!B91</f>
        <v>0</v>
      </c>
      <c r="C136" s="139">
        <f>'Expenses Summary'!C91</f>
        <v>0</v>
      </c>
      <c r="D136" s="64" t="str">
        <f>IF('Expenses Summary'!$F91="","",IF('Cash Flow %s Yr3'!D136="","",'Cash Flow %s Yr3'!D136*'Expenses Summary'!$F91))</f>
        <v/>
      </c>
      <c r="E136" s="64" t="str">
        <f>IF('Expenses Summary'!$F91="","",IF('Cash Flow %s Yr3'!E136="","",'Cash Flow %s Yr3'!E136*'Expenses Summary'!$F91))</f>
        <v/>
      </c>
      <c r="F136" s="64" t="str">
        <f>IF('Expenses Summary'!$F91="","",IF('Cash Flow %s Yr3'!F136="","",'Cash Flow %s Yr3'!F136*'Expenses Summary'!$F91))</f>
        <v/>
      </c>
      <c r="G136" s="64" t="str">
        <f>IF('Expenses Summary'!$F91="","",IF('Cash Flow %s Yr3'!G136="","",'Cash Flow %s Yr3'!G136*'Expenses Summary'!$F91))</f>
        <v/>
      </c>
      <c r="H136" s="64" t="str">
        <f>IF('Expenses Summary'!$F91="","",IF('Cash Flow %s Yr3'!H136="","",'Cash Flow %s Yr3'!H136*'Expenses Summary'!$F91))</f>
        <v/>
      </c>
      <c r="I136" s="64" t="str">
        <f>IF('Expenses Summary'!$F91="","",IF('Cash Flow %s Yr3'!I136="","",'Cash Flow %s Yr3'!I136*'Expenses Summary'!$F91))</f>
        <v/>
      </c>
      <c r="J136" s="64" t="str">
        <f>IF('Expenses Summary'!$F91="","",IF('Cash Flow %s Yr3'!J136="","",'Cash Flow %s Yr3'!J136*'Expenses Summary'!$F91))</f>
        <v/>
      </c>
      <c r="K136" s="64" t="str">
        <f>IF('Expenses Summary'!$F91="","",IF('Cash Flow %s Yr3'!K136="","",'Cash Flow %s Yr3'!K136*'Expenses Summary'!$F91))</f>
        <v/>
      </c>
      <c r="L136" s="64" t="str">
        <f>IF('Expenses Summary'!$F91="","",IF('Cash Flow %s Yr3'!L136="","",'Cash Flow %s Yr3'!L136*'Expenses Summary'!$F91))</f>
        <v/>
      </c>
      <c r="M136" s="64" t="str">
        <f>IF('Expenses Summary'!$F91="","",IF('Cash Flow %s Yr3'!M136="","",'Cash Flow %s Yr3'!M136*'Expenses Summary'!$F91))</f>
        <v/>
      </c>
      <c r="N136" s="64" t="str">
        <f>IF('Expenses Summary'!$F91="","",IF('Cash Flow %s Yr3'!N136="","",'Cash Flow %s Yr3'!N136*'Expenses Summary'!$F91))</f>
        <v/>
      </c>
      <c r="O136" s="64" t="str">
        <f>IF('Expenses Summary'!$F91="","",IF('Cash Flow %s Yr3'!O136="","",'Cash Flow %s Yr3'!O136*'Expenses Summary'!$F91))</f>
        <v/>
      </c>
      <c r="P136" s="129"/>
      <c r="Q136" s="129"/>
      <c r="R136" s="129"/>
      <c r="S136" s="111"/>
    </row>
    <row r="137" spans="1:19" s="31" customFormat="1" hidden="1" outlineLevel="1" x14ac:dyDescent="0.2">
      <c r="A137" s="36"/>
      <c r="B137" s="139">
        <f>'Expenses Summary'!B92</f>
        <v>0</v>
      </c>
      <c r="C137" s="139">
        <f>'Expenses Summary'!C92</f>
        <v>0</v>
      </c>
      <c r="D137" s="64" t="str">
        <f>IF('Expenses Summary'!$F92="","",IF('Cash Flow %s Yr3'!D137="","",'Cash Flow %s Yr3'!D137*'Expenses Summary'!$F92))</f>
        <v/>
      </c>
      <c r="E137" s="64" t="str">
        <f>IF('Expenses Summary'!$F92="","",IF('Cash Flow %s Yr3'!E137="","",'Cash Flow %s Yr3'!E137*'Expenses Summary'!$F92))</f>
        <v/>
      </c>
      <c r="F137" s="64" t="str">
        <f>IF('Expenses Summary'!$F92="","",IF('Cash Flow %s Yr3'!F137="","",'Cash Flow %s Yr3'!F137*'Expenses Summary'!$F92))</f>
        <v/>
      </c>
      <c r="G137" s="64" t="str">
        <f>IF('Expenses Summary'!$F92="","",IF('Cash Flow %s Yr3'!G137="","",'Cash Flow %s Yr3'!G137*'Expenses Summary'!$F92))</f>
        <v/>
      </c>
      <c r="H137" s="64" t="str">
        <f>IF('Expenses Summary'!$F92="","",IF('Cash Flow %s Yr3'!H137="","",'Cash Flow %s Yr3'!H137*'Expenses Summary'!$F92))</f>
        <v/>
      </c>
      <c r="I137" s="64" t="str">
        <f>IF('Expenses Summary'!$F92="","",IF('Cash Flow %s Yr3'!I137="","",'Cash Flow %s Yr3'!I137*'Expenses Summary'!$F92))</f>
        <v/>
      </c>
      <c r="J137" s="64" t="str">
        <f>IF('Expenses Summary'!$F92="","",IF('Cash Flow %s Yr3'!J137="","",'Cash Flow %s Yr3'!J137*'Expenses Summary'!$F92))</f>
        <v/>
      </c>
      <c r="K137" s="64" t="str">
        <f>IF('Expenses Summary'!$F92="","",IF('Cash Flow %s Yr3'!K137="","",'Cash Flow %s Yr3'!K137*'Expenses Summary'!$F92))</f>
        <v/>
      </c>
      <c r="L137" s="64" t="str">
        <f>IF('Expenses Summary'!$F92="","",IF('Cash Flow %s Yr3'!L137="","",'Cash Flow %s Yr3'!L137*'Expenses Summary'!$F92))</f>
        <v/>
      </c>
      <c r="M137" s="64" t="str">
        <f>IF('Expenses Summary'!$F92="","",IF('Cash Flow %s Yr3'!M137="","",'Cash Flow %s Yr3'!M137*'Expenses Summary'!$F92))</f>
        <v/>
      </c>
      <c r="N137" s="64" t="str">
        <f>IF('Expenses Summary'!$F92="","",IF('Cash Flow %s Yr3'!N137="","",'Cash Flow %s Yr3'!N137*'Expenses Summary'!$F92))</f>
        <v/>
      </c>
      <c r="O137" s="64" t="str">
        <f>IF('Expenses Summary'!$F92="","",IF('Cash Flow %s Yr3'!O137="","",'Cash Flow %s Yr3'!O137*'Expenses Summary'!$F92))</f>
        <v/>
      </c>
      <c r="P137" s="129"/>
      <c r="Q137" s="129"/>
      <c r="R137" s="129"/>
      <c r="S137" s="111"/>
    </row>
    <row r="138" spans="1:19" s="31" customFormat="1" hidden="1" outlineLevel="1" x14ac:dyDescent="0.2">
      <c r="A138" s="36"/>
      <c r="B138" s="139">
        <f>'Expenses Summary'!B93</f>
        <v>0</v>
      </c>
      <c r="C138" s="139">
        <f>'Expenses Summary'!C93</f>
        <v>0</v>
      </c>
      <c r="D138" s="64" t="str">
        <f>IF('Expenses Summary'!$F93="","",IF('Cash Flow %s Yr3'!D138="","",'Cash Flow %s Yr3'!D138*'Expenses Summary'!$F93))</f>
        <v/>
      </c>
      <c r="E138" s="64" t="str">
        <f>IF('Expenses Summary'!$F93="","",IF('Cash Flow %s Yr3'!E138="","",'Cash Flow %s Yr3'!E138*'Expenses Summary'!$F93))</f>
        <v/>
      </c>
      <c r="F138" s="64" t="str">
        <f>IF('Expenses Summary'!$F93="","",IF('Cash Flow %s Yr3'!F138="","",'Cash Flow %s Yr3'!F138*'Expenses Summary'!$F93))</f>
        <v/>
      </c>
      <c r="G138" s="64" t="str">
        <f>IF('Expenses Summary'!$F93="","",IF('Cash Flow %s Yr3'!G138="","",'Cash Flow %s Yr3'!G138*'Expenses Summary'!$F93))</f>
        <v/>
      </c>
      <c r="H138" s="64" t="str">
        <f>IF('Expenses Summary'!$F93="","",IF('Cash Flow %s Yr3'!H138="","",'Cash Flow %s Yr3'!H138*'Expenses Summary'!$F93))</f>
        <v/>
      </c>
      <c r="I138" s="64" t="str">
        <f>IF('Expenses Summary'!$F93="","",IF('Cash Flow %s Yr3'!I138="","",'Cash Flow %s Yr3'!I138*'Expenses Summary'!$F93))</f>
        <v/>
      </c>
      <c r="J138" s="64" t="str">
        <f>IF('Expenses Summary'!$F93="","",IF('Cash Flow %s Yr3'!J138="","",'Cash Flow %s Yr3'!J138*'Expenses Summary'!$F93))</f>
        <v/>
      </c>
      <c r="K138" s="64" t="str">
        <f>IF('Expenses Summary'!$F93="","",IF('Cash Flow %s Yr3'!K138="","",'Cash Flow %s Yr3'!K138*'Expenses Summary'!$F93))</f>
        <v/>
      </c>
      <c r="L138" s="64" t="str">
        <f>IF('Expenses Summary'!$F93="","",IF('Cash Flow %s Yr3'!L138="","",'Cash Flow %s Yr3'!L138*'Expenses Summary'!$F93))</f>
        <v/>
      </c>
      <c r="M138" s="64" t="str">
        <f>IF('Expenses Summary'!$F93="","",IF('Cash Flow %s Yr3'!M138="","",'Cash Flow %s Yr3'!M138*'Expenses Summary'!$F93))</f>
        <v/>
      </c>
      <c r="N138" s="64" t="str">
        <f>IF('Expenses Summary'!$F93="","",IF('Cash Flow %s Yr3'!N138="","",'Cash Flow %s Yr3'!N138*'Expenses Summary'!$F93))</f>
        <v/>
      </c>
      <c r="O138" s="64" t="str">
        <f>IF('Expenses Summary'!$F93="","",IF('Cash Flow %s Yr3'!O138="","",'Cash Flow %s Yr3'!O138*'Expenses Summary'!$F93))</f>
        <v/>
      </c>
      <c r="P138" s="129"/>
      <c r="Q138" s="129"/>
      <c r="R138" s="129"/>
      <c r="S138" s="111"/>
    </row>
    <row r="139" spans="1:19" s="31" customFormat="1" hidden="1" outlineLevel="1" x14ac:dyDescent="0.2">
      <c r="A139" s="36"/>
      <c r="B139" s="139">
        <f>'Expenses Summary'!B94</f>
        <v>0</v>
      </c>
      <c r="C139" s="139">
        <f>'Expenses Summary'!C94</f>
        <v>0</v>
      </c>
      <c r="D139" s="64" t="str">
        <f>IF('Expenses Summary'!$F94="","",IF('Cash Flow %s Yr3'!D139="","",'Cash Flow %s Yr3'!D139*'Expenses Summary'!$F94))</f>
        <v/>
      </c>
      <c r="E139" s="64" t="str">
        <f>IF('Expenses Summary'!$F94="","",IF('Cash Flow %s Yr3'!E139="","",'Cash Flow %s Yr3'!E139*'Expenses Summary'!$F94))</f>
        <v/>
      </c>
      <c r="F139" s="64" t="str">
        <f>IF('Expenses Summary'!$F94="","",IF('Cash Flow %s Yr3'!F139="","",'Cash Flow %s Yr3'!F139*'Expenses Summary'!$F94))</f>
        <v/>
      </c>
      <c r="G139" s="64" t="str">
        <f>IF('Expenses Summary'!$F94="","",IF('Cash Flow %s Yr3'!G139="","",'Cash Flow %s Yr3'!G139*'Expenses Summary'!$F94))</f>
        <v/>
      </c>
      <c r="H139" s="64" t="str">
        <f>IF('Expenses Summary'!$F94="","",IF('Cash Flow %s Yr3'!H139="","",'Cash Flow %s Yr3'!H139*'Expenses Summary'!$F94))</f>
        <v/>
      </c>
      <c r="I139" s="64" t="str">
        <f>IF('Expenses Summary'!$F94="","",IF('Cash Flow %s Yr3'!I139="","",'Cash Flow %s Yr3'!I139*'Expenses Summary'!$F94))</f>
        <v/>
      </c>
      <c r="J139" s="64" t="str">
        <f>IF('Expenses Summary'!$F94="","",IF('Cash Flow %s Yr3'!J139="","",'Cash Flow %s Yr3'!J139*'Expenses Summary'!$F94))</f>
        <v/>
      </c>
      <c r="K139" s="64" t="str">
        <f>IF('Expenses Summary'!$F94="","",IF('Cash Flow %s Yr3'!K139="","",'Cash Flow %s Yr3'!K139*'Expenses Summary'!$F94))</f>
        <v/>
      </c>
      <c r="L139" s="64" t="str">
        <f>IF('Expenses Summary'!$F94="","",IF('Cash Flow %s Yr3'!L139="","",'Cash Flow %s Yr3'!L139*'Expenses Summary'!$F94))</f>
        <v/>
      </c>
      <c r="M139" s="64" t="str">
        <f>IF('Expenses Summary'!$F94="","",IF('Cash Flow %s Yr3'!M139="","",'Cash Flow %s Yr3'!M139*'Expenses Summary'!$F94))</f>
        <v/>
      </c>
      <c r="N139" s="64" t="str">
        <f>IF('Expenses Summary'!$F94="","",IF('Cash Flow %s Yr3'!N139="","",'Cash Flow %s Yr3'!N139*'Expenses Summary'!$F94))</f>
        <v/>
      </c>
      <c r="O139" s="64" t="str">
        <f>IF('Expenses Summary'!$F94="","",IF('Cash Flow %s Yr3'!O139="","",'Cash Flow %s Yr3'!O139*'Expenses Summary'!$F94))</f>
        <v/>
      </c>
      <c r="P139" s="129"/>
      <c r="Q139" s="129"/>
      <c r="R139" s="129"/>
      <c r="S139" s="111"/>
    </row>
    <row r="140" spans="1:19" s="31" customFormat="1" hidden="1" outlineLevel="1" x14ac:dyDescent="0.2">
      <c r="A140" s="36"/>
      <c r="B140" s="139">
        <f>'Expenses Summary'!B95</f>
        <v>0</v>
      </c>
      <c r="C140" s="139">
        <f>'Expenses Summary'!C95</f>
        <v>0</v>
      </c>
      <c r="D140" s="64" t="str">
        <f>IF('Expenses Summary'!$F95="","",IF('Cash Flow %s Yr3'!D140="","",'Cash Flow %s Yr3'!D140*'Expenses Summary'!$F95))</f>
        <v/>
      </c>
      <c r="E140" s="64" t="str">
        <f>IF('Expenses Summary'!$F95="","",IF('Cash Flow %s Yr3'!E140="","",'Cash Flow %s Yr3'!E140*'Expenses Summary'!$F95))</f>
        <v/>
      </c>
      <c r="F140" s="64" t="str">
        <f>IF('Expenses Summary'!$F95="","",IF('Cash Flow %s Yr3'!F140="","",'Cash Flow %s Yr3'!F140*'Expenses Summary'!$F95))</f>
        <v/>
      </c>
      <c r="G140" s="64" t="str">
        <f>IF('Expenses Summary'!$F95="","",IF('Cash Flow %s Yr3'!G140="","",'Cash Flow %s Yr3'!G140*'Expenses Summary'!$F95))</f>
        <v/>
      </c>
      <c r="H140" s="64" t="str">
        <f>IF('Expenses Summary'!$F95="","",IF('Cash Flow %s Yr3'!H140="","",'Cash Flow %s Yr3'!H140*'Expenses Summary'!$F95))</f>
        <v/>
      </c>
      <c r="I140" s="64" t="str">
        <f>IF('Expenses Summary'!$F95="","",IF('Cash Flow %s Yr3'!I140="","",'Cash Flow %s Yr3'!I140*'Expenses Summary'!$F95))</f>
        <v/>
      </c>
      <c r="J140" s="64" t="str">
        <f>IF('Expenses Summary'!$F95="","",IF('Cash Flow %s Yr3'!J140="","",'Cash Flow %s Yr3'!J140*'Expenses Summary'!$F95))</f>
        <v/>
      </c>
      <c r="K140" s="64" t="str">
        <f>IF('Expenses Summary'!$F95="","",IF('Cash Flow %s Yr3'!K140="","",'Cash Flow %s Yr3'!K140*'Expenses Summary'!$F95))</f>
        <v/>
      </c>
      <c r="L140" s="64" t="str">
        <f>IF('Expenses Summary'!$F95="","",IF('Cash Flow %s Yr3'!L140="","",'Cash Flow %s Yr3'!L140*'Expenses Summary'!$F95))</f>
        <v/>
      </c>
      <c r="M140" s="64" t="str">
        <f>IF('Expenses Summary'!$F95="","",IF('Cash Flow %s Yr3'!M140="","",'Cash Flow %s Yr3'!M140*'Expenses Summary'!$F95))</f>
        <v/>
      </c>
      <c r="N140" s="64" t="str">
        <f>IF('Expenses Summary'!$F95="","",IF('Cash Flow %s Yr3'!N140="","",'Cash Flow %s Yr3'!N140*'Expenses Summary'!$F95))</f>
        <v/>
      </c>
      <c r="O140" s="64" t="str">
        <f>IF('Expenses Summary'!$F95="","",IF('Cash Flow %s Yr3'!O140="","",'Cash Flow %s Yr3'!O140*'Expenses Summary'!$F95))</f>
        <v/>
      </c>
      <c r="P140" s="129"/>
      <c r="Q140" s="129"/>
      <c r="R140" s="129"/>
      <c r="S140" s="111"/>
    </row>
    <row r="141" spans="1:19" s="31" customFormat="1" hidden="1" outlineLevel="1" x14ac:dyDescent="0.2">
      <c r="A141" s="36"/>
      <c r="B141" s="139">
        <f>'Expenses Summary'!B96</f>
        <v>0</v>
      </c>
      <c r="C141" s="139">
        <f>'Expenses Summary'!C96</f>
        <v>0</v>
      </c>
      <c r="D141" s="64" t="str">
        <f>IF('Expenses Summary'!$F96="","",IF('Cash Flow %s Yr3'!D141="","",'Cash Flow %s Yr3'!D141*'Expenses Summary'!$F96))</f>
        <v/>
      </c>
      <c r="E141" s="64" t="str">
        <f>IF('Expenses Summary'!$F96="","",IF('Cash Flow %s Yr3'!E141="","",'Cash Flow %s Yr3'!E141*'Expenses Summary'!$F96))</f>
        <v/>
      </c>
      <c r="F141" s="64" t="str">
        <f>IF('Expenses Summary'!$F96="","",IF('Cash Flow %s Yr3'!F141="","",'Cash Flow %s Yr3'!F141*'Expenses Summary'!$F96))</f>
        <v/>
      </c>
      <c r="G141" s="64" t="str">
        <f>IF('Expenses Summary'!$F96="","",IF('Cash Flow %s Yr3'!G141="","",'Cash Flow %s Yr3'!G141*'Expenses Summary'!$F96))</f>
        <v/>
      </c>
      <c r="H141" s="64" t="str">
        <f>IF('Expenses Summary'!$F96="","",IF('Cash Flow %s Yr3'!H141="","",'Cash Flow %s Yr3'!H141*'Expenses Summary'!$F96))</f>
        <v/>
      </c>
      <c r="I141" s="64" t="str">
        <f>IF('Expenses Summary'!$F96="","",IF('Cash Flow %s Yr3'!I141="","",'Cash Flow %s Yr3'!I141*'Expenses Summary'!$F96))</f>
        <v/>
      </c>
      <c r="J141" s="64" t="str">
        <f>IF('Expenses Summary'!$F96="","",IF('Cash Flow %s Yr3'!J141="","",'Cash Flow %s Yr3'!J141*'Expenses Summary'!$F96))</f>
        <v/>
      </c>
      <c r="K141" s="64" t="str">
        <f>IF('Expenses Summary'!$F96="","",IF('Cash Flow %s Yr3'!K141="","",'Cash Flow %s Yr3'!K141*'Expenses Summary'!$F96))</f>
        <v/>
      </c>
      <c r="L141" s="64" t="str">
        <f>IF('Expenses Summary'!$F96="","",IF('Cash Flow %s Yr3'!L141="","",'Cash Flow %s Yr3'!L141*'Expenses Summary'!$F96))</f>
        <v/>
      </c>
      <c r="M141" s="64" t="str">
        <f>IF('Expenses Summary'!$F96="","",IF('Cash Flow %s Yr3'!M141="","",'Cash Flow %s Yr3'!M141*'Expenses Summary'!$F96))</f>
        <v/>
      </c>
      <c r="N141" s="64" t="str">
        <f>IF('Expenses Summary'!$F96="","",IF('Cash Flow %s Yr3'!N141="","",'Cash Flow %s Yr3'!N141*'Expenses Summary'!$F96))</f>
        <v/>
      </c>
      <c r="O141" s="64" t="str">
        <f>IF('Expenses Summary'!$F96="","",IF('Cash Flow %s Yr3'!O141="","",'Cash Flow %s Yr3'!O141*'Expenses Summary'!$F96))</f>
        <v/>
      </c>
      <c r="P141" s="129"/>
      <c r="Q141" s="129"/>
      <c r="R141" s="129"/>
      <c r="S141" s="111"/>
    </row>
    <row r="142" spans="1:19" s="31" customFormat="1" hidden="1" outlineLevel="1" x14ac:dyDescent="0.2">
      <c r="A142" s="36"/>
      <c r="B142" s="139">
        <f>'Expenses Summary'!B97</f>
        <v>0</v>
      </c>
      <c r="C142" s="139">
        <f>'Expenses Summary'!C97</f>
        <v>0</v>
      </c>
      <c r="D142" s="64" t="str">
        <f>IF('Expenses Summary'!$F97="","",IF('Cash Flow %s Yr3'!D142="","",'Cash Flow %s Yr3'!D142*'Expenses Summary'!$F97))</f>
        <v/>
      </c>
      <c r="E142" s="64" t="str">
        <f>IF('Expenses Summary'!$F97="","",IF('Cash Flow %s Yr3'!E142="","",'Cash Flow %s Yr3'!E142*'Expenses Summary'!$F97))</f>
        <v/>
      </c>
      <c r="F142" s="64" t="str">
        <f>IF('Expenses Summary'!$F97="","",IF('Cash Flow %s Yr3'!F142="","",'Cash Flow %s Yr3'!F142*'Expenses Summary'!$F97))</f>
        <v/>
      </c>
      <c r="G142" s="64" t="str">
        <f>IF('Expenses Summary'!$F97="","",IF('Cash Flow %s Yr3'!G142="","",'Cash Flow %s Yr3'!G142*'Expenses Summary'!$F97))</f>
        <v/>
      </c>
      <c r="H142" s="64" t="str">
        <f>IF('Expenses Summary'!$F97="","",IF('Cash Flow %s Yr3'!H142="","",'Cash Flow %s Yr3'!H142*'Expenses Summary'!$F97))</f>
        <v/>
      </c>
      <c r="I142" s="64" t="str">
        <f>IF('Expenses Summary'!$F97="","",IF('Cash Flow %s Yr3'!I142="","",'Cash Flow %s Yr3'!I142*'Expenses Summary'!$F97))</f>
        <v/>
      </c>
      <c r="J142" s="64" t="str">
        <f>IF('Expenses Summary'!$F97="","",IF('Cash Flow %s Yr3'!J142="","",'Cash Flow %s Yr3'!J142*'Expenses Summary'!$F97))</f>
        <v/>
      </c>
      <c r="K142" s="64" t="str">
        <f>IF('Expenses Summary'!$F97="","",IF('Cash Flow %s Yr3'!K142="","",'Cash Flow %s Yr3'!K142*'Expenses Summary'!$F97))</f>
        <v/>
      </c>
      <c r="L142" s="64" t="str">
        <f>IF('Expenses Summary'!$F97="","",IF('Cash Flow %s Yr3'!L142="","",'Cash Flow %s Yr3'!L142*'Expenses Summary'!$F97))</f>
        <v/>
      </c>
      <c r="M142" s="64" t="str">
        <f>IF('Expenses Summary'!$F97="","",IF('Cash Flow %s Yr3'!M142="","",'Cash Flow %s Yr3'!M142*'Expenses Summary'!$F97))</f>
        <v/>
      </c>
      <c r="N142" s="64" t="str">
        <f>IF('Expenses Summary'!$F97="","",IF('Cash Flow %s Yr3'!N142="","",'Cash Flow %s Yr3'!N142*'Expenses Summary'!$F97))</f>
        <v/>
      </c>
      <c r="O142" s="64" t="str">
        <f>IF('Expenses Summary'!$F97="","",IF('Cash Flow %s Yr3'!O142="","",'Cash Flow %s Yr3'!O142*'Expenses Summary'!$F97))</f>
        <v/>
      </c>
      <c r="P142" s="129"/>
      <c r="Q142" s="129"/>
      <c r="R142" s="129"/>
      <c r="S142" s="111" t="str">
        <f>IF(SUM(D142:R142)&gt;0,SUM(D142:R142)/'Expenses Summary'!$F97,"")</f>
        <v/>
      </c>
    </row>
    <row r="143" spans="1:19" s="31" customFormat="1" collapsed="1" x14ac:dyDescent="0.2">
      <c r="A143" s="36"/>
      <c r="B143" s="139" t="str">
        <f>'Expenses Summary'!B98</f>
        <v>5999</v>
      </c>
      <c r="C143" s="139" t="str">
        <f>'Expenses Summary'!C98</f>
        <v>Expense Suspense</v>
      </c>
      <c r="D143" s="64" t="str">
        <f>IF('Expenses Summary'!$F98="","",IF('Cash Flow %s Yr3'!D143="","",'Cash Flow %s Yr3'!D143*'Expenses Summary'!$F98))</f>
        <v/>
      </c>
      <c r="E143" s="64" t="str">
        <f>IF('Expenses Summary'!$F98="","",IF('Cash Flow %s Yr3'!E143="","",'Cash Flow %s Yr3'!E143*'Expenses Summary'!$F98))</f>
        <v/>
      </c>
      <c r="F143" s="64" t="str">
        <f>IF('Expenses Summary'!$F98="","",IF('Cash Flow %s Yr3'!F143="","",'Cash Flow %s Yr3'!F143*'Expenses Summary'!$F98))</f>
        <v/>
      </c>
      <c r="G143" s="64" t="str">
        <f>IF('Expenses Summary'!$F98="","",IF('Cash Flow %s Yr3'!G143="","",'Cash Flow %s Yr3'!G143*'Expenses Summary'!$F98))</f>
        <v/>
      </c>
      <c r="H143" s="64" t="str">
        <f>IF('Expenses Summary'!$F98="","",IF('Cash Flow %s Yr3'!H143="","",'Cash Flow %s Yr3'!H143*'Expenses Summary'!$F98))</f>
        <v/>
      </c>
      <c r="I143" s="64" t="str">
        <f>IF('Expenses Summary'!$F98="","",IF('Cash Flow %s Yr3'!I143="","",'Cash Flow %s Yr3'!I143*'Expenses Summary'!$F98))</f>
        <v/>
      </c>
      <c r="J143" s="64" t="str">
        <f>IF('Expenses Summary'!$F98="","",IF('Cash Flow %s Yr3'!J143="","",'Cash Flow %s Yr3'!J143*'Expenses Summary'!$F98))</f>
        <v/>
      </c>
      <c r="K143" s="64" t="str">
        <f>IF('Expenses Summary'!$F98="","",IF('Cash Flow %s Yr3'!K143="","",'Cash Flow %s Yr3'!K143*'Expenses Summary'!$F98))</f>
        <v/>
      </c>
      <c r="L143" s="64" t="str">
        <f>IF('Expenses Summary'!$F98="","",IF('Cash Flow %s Yr3'!L143="","",'Cash Flow %s Yr3'!L143*'Expenses Summary'!$F98))</f>
        <v/>
      </c>
      <c r="M143" s="64" t="str">
        <f>IF('Expenses Summary'!$F98="","",IF('Cash Flow %s Yr3'!M143="","",'Cash Flow %s Yr3'!M143*'Expenses Summary'!$F98))</f>
        <v/>
      </c>
      <c r="N143" s="64" t="str">
        <f>IF('Expenses Summary'!$F98="","",IF('Cash Flow %s Yr3'!N143="","",'Cash Flow %s Yr3'!N143*'Expenses Summary'!$F98))</f>
        <v/>
      </c>
      <c r="O143" s="64" t="str">
        <f>IF('Expenses Summary'!$F98="","",IF('Cash Flow %s Yr3'!O143="","",'Cash Flow %s Yr3'!O143*'Expenses Summary'!$F98))</f>
        <v/>
      </c>
      <c r="P143" s="129"/>
      <c r="Q143" s="129"/>
      <c r="R143" s="129"/>
      <c r="S143" s="111" t="str">
        <f>IF(SUM(D143:R143)&gt;0,SUM(D143:R143)/'Expenses Summary'!$F98,"")</f>
        <v/>
      </c>
    </row>
    <row r="144" spans="1:19" s="31" customFormat="1" x14ac:dyDescent="0.2">
      <c r="A144" s="36"/>
      <c r="B144" s="33" t="s">
        <v>559</v>
      </c>
      <c r="C144" s="34" t="s">
        <v>721</v>
      </c>
      <c r="D144" s="172" t="e">
        <f>IF(SUM(D110:D143)&gt;0,SUM(D110:D143),"")</f>
        <v>#REF!</v>
      </c>
      <c r="E144" s="172" t="e">
        <f t="shared" ref="E144:O144" si="10">IF(SUM(E110:E143)&gt;0,SUM(E110:E143),"")</f>
        <v>#REF!</v>
      </c>
      <c r="F144" s="172" t="e">
        <f t="shared" si="10"/>
        <v>#REF!</v>
      </c>
      <c r="G144" s="172" t="e">
        <f t="shared" si="10"/>
        <v>#REF!</v>
      </c>
      <c r="H144" s="172" t="e">
        <f t="shared" si="10"/>
        <v>#REF!</v>
      </c>
      <c r="I144" s="172" t="e">
        <f t="shared" si="10"/>
        <v>#REF!</v>
      </c>
      <c r="J144" s="172" t="e">
        <f t="shared" si="10"/>
        <v>#REF!</v>
      </c>
      <c r="K144" s="172" t="e">
        <f t="shared" si="10"/>
        <v>#REF!</v>
      </c>
      <c r="L144" s="172" t="e">
        <f t="shared" si="10"/>
        <v>#REF!</v>
      </c>
      <c r="M144" s="172" t="e">
        <f t="shared" si="10"/>
        <v>#REF!</v>
      </c>
      <c r="N144" s="172" t="e">
        <f t="shared" si="10"/>
        <v>#REF!</v>
      </c>
      <c r="O144" s="172" t="e">
        <f t="shared" si="10"/>
        <v>#REF!</v>
      </c>
      <c r="P144" s="108"/>
      <c r="Q144" s="108"/>
      <c r="R144" s="108"/>
      <c r="S144" s="107"/>
    </row>
    <row r="145" spans="1:19" s="31" customFormat="1" x14ac:dyDescent="0.2">
      <c r="A145" s="36"/>
      <c r="B145" s="4"/>
      <c r="C145" s="3"/>
      <c r="D145" s="95"/>
      <c r="E145" s="95"/>
      <c r="F145" s="95"/>
      <c r="G145" s="95"/>
      <c r="H145" s="95"/>
      <c r="I145" s="95"/>
      <c r="J145" s="95"/>
      <c r="K145" s="95"/>
      <c r="L145" s="95"/>
      <c r="M145" s="95"/>
      <c r="N145" s="95"/>
      <c r="O145" s="95"/>
      <c r="P145" s="95"/>
      <c r="Q145" s="95"/>
      <c r="R145" s="95"/>
    </row>
    <row r="146" spans="1:19" s="31" customFormat="1" x14ac:dyDescent="0.2">
      <c r="B146" s="34" t="s">
        <v>723</v>
      </c>
      <c r="C146" s="3"/>
      <c r="D146" s="95"/>
      <c r="E146" s="95"/>
      <c r="F146" s="95"/>
      <c r="G146" s="95"/>
      <c r="H146" s="95"/>
      <c r="I146" s="95"/>
      <c r="J146" s="95"/>
      <c r="K146" s="95"/>
      <c r="L146" s="95"/>
      <c r="M146" s="95"/>
      <c r="N146" s="95"/>
      <c r="O146" s="95"/>
      <c r="P146" s="95"/>
      <c r="Q146" s="95"/>
      <c r="R146" s="95"/>
    </row>
    <row r="147" spans="1:19" s="31" customFormat="1" x14ac:dyDescent="0.2">
      <c r="A147" s="36"/>
      <c r="B147" s="139" t="str">
        <f>'Expenses Summary'!B102</f>
        <v>6900</v>
      </c>
      <c r="C147" s="139" t="str">
        <f>'Expenses Summary'!C102</f>
        <v xml:space="preserve">Depreciation Expense                                                            </v>
      </c>
      <c r="D147" s="64">
        <f>IF('Expenses Summary'!$F102="","",IF('Cash Flow %s Yr3'!D147="","",'Cash Flow %s Yr3'!D147*'Expenses Summary'!$F102))</f>
        <v>0</v>
      </c>
      <c r="E147" s="64">
        <f>IF('Expenses Summary'!$F102="","",IF('Cash Flow %s Yr3'!E147="","",'Cash Flow %s Yr3'!E147*'Expenses Summary'!$F102))</f>
        <v>0</v>
      </c>
      <c r="F147" s="64">
        <f>IF('Expenses Summary'!$F102="","",IF('Cash Flow %s Yr3'!F147="","",'Cash Flow %s Yr3'!F147*'Expenses Summary'!$F102))</f>
        <v>0</v>
      </c>
      <c r="G147" s="64">
        <f>IF('Expenses Summary'!$F102="","",IF('Cash Flow %s Yr3'!G147="","",'Cash Flow %s Yr3'!G147*'Expenses Summary'!$F102))</f>
        <v>0</v>
      </c>
      <c r="H147" s="64">
        <f>IF('Expenses Summary'!$F102="","",IF('Cash Flow %s Yr3'!H147="","",'Cash Flow %s Yr3'!H147*'Expenses Summary'!$F102))</f>
        <v>0</v>
      </c>
      <c r="I147" s="64">
        <f>IF('Expenses Summary'!$F102="","",IF('Cash Flow %s Yr3'!I147="","",'Cash Flow %s Yr3'!I147*'Expenses Summary'!$F102))</f>
        <v>0</v>
      </c>
      <c r="J147" s="64">
        <f>IF('Expenses Summary'!$F102="","",IF('Cash Flow %s Yr3'!J147="","",'Cash Flow %s Yr3'!J147*'Expenses Summary'!$F102))</f>
        <v>0</v>
      </c>
      <c r="K147" s="64">
        <f>IF('Expenses Summary'!$F102="","",IF('Cash Flow %s Yr3'!K147="","",'Cash Flow %s Yr3'!K147*'Expenses Summary'!$F102))</f>
        <v>0</v>
      </c>
      <c r="L147" s="64">
        <f>IF('Expenses Summary'!$F102="","",IF('Cash Flow %s Yr3'!L147="","",'Cash Flow %s Yr3'!L147*'Expenses Summary'!$F102))</f>
        <v>0</v>
      </c>
      <c r="M147" s="64">
        <f>IF('Expenses Summary'!$F102="","",IF('Cash Flow %s Yr3'!M147="","",'Cash Flow %s Yr3'!M147*'Expenses Summary'!$F102))</f>
        <v>0</v>
      </c>
      <c r="N147" s="64">
        <f>IF('Expenses Summary'!$F102="","",IF('Cash Flow %s Yr3'!N147="","",'Cash Flow %s Yr3'!N147*'Expenses Summary'!$F102))</f>
        <v>0</v>
      </c>
      <c r="O147" s="64">
        <f>IF('Expenses Summary'!$F102="","",IF('Cash Flow %s Yr3'!O147="","",'Cash Flow %s Yr3'!O147*'Expenses Summary'!$F102))</f>
        <v>2824</v>
      </c>
      <c r="P147" s="129"/>
      <c r="Q147" s="129"/>
      <c r="R147" s="129"/>
      <c r="S147" s="111">
        <f>IF(SUM(D147:R147)&gt;0,SUM(D147:R147)/'Expenses Summary'!$F102,"")</f>
        <v>1</v>
      </c>
    </row>
    <row r="148" spans="1:19" s="31" customFormat="1" x14ac:dyDescent="0.2">
      <c r="A148" s="36"/>
      <c r="B148" s="33" t="s">
        <v>560</v>
      </c>
      <c r="C148" s="34" t="s">
        <v>721</v>
      </c>
      <c r="D148" s="172" t="str">
        <f t="shared" ref="D148:O148" si="11">IF(SUM(D146:D147)&gt;0,SUM(D146:D147),"")</f>
        <v/>
      </c>
      <c r="E148" s="172" t="str">
        <f t="shared" si="11"/>
        <v/>
      </c>
      <c r="F148" s="172" t="str">
        <f t="shared" si="11"/>
        <v/>
      </c>
      <c r="G148" s="172" t="str">
        <f t="shared" si="11"/>
        <v/>
      </c>
      <c r="H148" s="172" t="str">
        <f t="shared" si="11"/>
        <v/>
      </c>
      <c r="I148" s="172" t="str">
        <f t="shared" si="11"/>
        <v/>
      </c>
      <c r="J148" s="172" t="str">
        <f t="shared" si="11"/>
        <v/>
      </c>
      <c r="K148" s="172" t="str">
        <f t="shared" si="11"/>
        <v/>
      </c>
      <c r="L148" s="172" t="str">
        <f t="shared" si="11"/>
        <v/>
      </c>
      <c r="M148" s="172" t="str">
        <f t="shared" si="11"/>
        <v/>
      </c>
      <c r="N148" s="172" t="str">
        <f t="shared" si="11"/>
        <v/>
      </c>
      <c r="O148" s="172">
        <f t="shared" si="11"/>
        <v>2824</v>
      </c>
      <c r="P148" s="108"/>
      <c r="Q148" s="108"/>
      <c r="R148" s="108"/>
      <c r="S148" s="107"/>
    </row>
    <row r="149" spans="1:19" s="31" customFormat="1" x14ac:dyDescent="0.2">
      <c r="A149" s="36"/>
      <c r="B149" s="4"/>
      <c r="C149" s="3"/>
      <c r="D149" s="104"/>
      <c r="E149" s="104"/>
      <c r="F149" s="104"/>
      <c r="G149" s="95"/>
      <c r="H149" s="95"/>
      <c r="I149" s="95"/>
      <c r="J149" s="95"/>
      <c r="K149" s="95"/>
      <c r="L149" s="95"/>
      <c r="M149" s="95"/>
      <c r="N149" s="95"/>
      <c r="O149" s="95"/>
      <c r="P149" s="95"/>
      <c r="Q149" s="95"/>
      <c r="R149" s="95"/>
    </row>
    <row r="150" spans="1:19" s="31" customFormat="1" x14ac:dyDescent="0.2">
      <c r="B150" s="34" t="s">
        <v>724</v>
      </c>
      <c r="C150" s="3"/>
      <c r="D150" s="104"/>
      <c r="E150" s="104"/>
      <c r="F150" s="104"/>
      <c r="G150" s="95"/>
      <c r="H150" s="95"/>
      <c r="I150" s="95"/>
      <c r="J150" s="95"/>
      <c r="K150" s="95"/>
      <c r="L150" s="95"/>
      <c r="M150" s="95"/>
      <c r="N150" s="95"/>
      <c r="O150" s="95"/>
      <c r="P150" s="95"/>
      <c r="Q150" s="95"/>
      <c r="R150" s="95"/>
    </row>
    <row r="151" spans="1:19" s="31" customFormat="1" x14ac:dyDescent="0.2">
      <c r="A151" s="36"/>
      <c r="B151" s="139" t="str">
        <f>'Expenses Summary'!B106</f>
        <v>7000</v>
      </c>
      <c r="C151" s="139" t="str">
        <f>'Expenses Summary'!C106</f>
        <v>Miscellaneous Expense</v>
      </c>
      <c r="D151" s="64" t="str">
        <f>IF('Expenses Summary'!$F106="","",IF('Cash Flow %s Yr3'!D151="","",'Cash Flow %s Yr3'!D151*'Expenses Summary'!$F106))</f>
        <v/>
      </c>
      <c r="E151" s="64" t="str">
        <f>IF('Expenses Summary'!$F106="","",IF('Cash Flow %s Yr3'!E151="","",'Cash Flow %s Yr3'!E151*'Expenses Summary'!$F106))</f>
        <v/>
      </c>
      <c r="F151" s="64" t="str">
        <f>IF('Expenses Summary'!$F106="","",IF('Cash Flow %s Yr3'!F151="","",'Cash Flow %s Yr3'!F151*'Expenses Summary'!$F106))</f>
        <v/>
      </c>
      <c r="G151" s="64" t="str">
        <f>IF('Expenses Summary'!$F106="","",IF('Cash Flow %s Yr3'!G151="","",'Cash Flow %s Yr3'!G151*'Expenses Summary'!$F106))</f>
        <v/>
      </c>
      <c r="H151" s="64" t="str">
        <f>IF('Expenses Summary'!$F106="","",IF('Cash Flow %s Yr3'!H151="","",'Cash Flow %s Yr3'!H151*'Expenses Summary'!$F106))</f>
        <v/>
      </c>
      <c r="I151" s="64" t="str">
        <f>IF('Expenses Summary'!$F106="","",IF('Cash Flow %s Yr3'!I151="","",'Cash Flow %s Yr3'!I151*'Expenses Summary'!$F106))</f>
        <v/>
      </c>
      <c r="J151" s="64" t="str">
        <f>IF('Expenses Summary'!$F106="","",IF('Cash Flow %s Yr3'!J151="","",'Cash Flow %s Yr3'!J151*'Expenses Summary'!$F106))</f>
        <v/>
      </c>
      <c r="K151" s="64" t="str">
        <f>IF('Expenses Summary'!$F106="","",IF('Cash Flow %s Yr3'!K151="","",'Cash Flow %s Yr3'!K151*'Expenses Summary'!$F106))</f>
        <v/>
      </c>
      <c r="L151" s="64" t="str">
        <f>IF('Expenses Summary'!$F106="","",IF('Cash Flow %s Yr3'!L151="","",'Cash Flow %s Yr3'!L151*'Expenses Summary'!$F106))</f>
        <v/>
      </c>
      <c r="M151" s="64" t="str">
        <f>IF('Expenses Summary'!$F106="","",IF('Cash Flow %s Yr3'!M151="","",'Cash Flow %s Yr3'!M151*'Expenses Summary'!$F106))</f>
        <v/>
      </c>
      <c r="N151" s="64" t="str">
        <f>IF('Expenses Summary'!$F106="","",IF('Cash Flow %s Yr3'!N151="","",'Cash Flow %s Yr3'!N151*'Expenses Summary'!$F106))</f>
        <v/>
      </c>
      <c r="O151" s="64" t="str">
        <f>IF('Expenses Summary'!$F106="","",IF('Cash Flow %s Yr3'!O151="","",'Cash Flow %s Yr3'!O151*'Expenses Summary'!$F106))</f>
        <v/>
      </c>
      <c r="P151" s="129"/>
      <c r="Q151" s="129"/>
      <c r="R151" s="129"/>
      <c r="S151" s="111" t="str">
        <f>IF(SUM(D151:R151)&gt;0,SUM(D151:R151)/'Expenses Summary'!$F106,"")</f>
        <v/>
      </c>
    </row>
    <row r="152" spans="1:19" s="31" customFormat="1" x14ac:dyDescent="0.2">
      <c r="A152" s="36"/>
      <c r="B152" s="139" t="str">
        <f>'Expenses Summary'!B107</f>
        <v>7010</v>
      </c>
      <c r="C152" s="139" t="str">
        <f>'Expenses Summary'!C107</f>
        <v>Special Education Encroachment</v>
      </c>
      <c r="D152" s="64">
        <f>IF('Expenses Summary'!$F107="","",IF('Cash Flow %s Yr3'!D152="","",'Cash Flow %s Yr3'!D152*'Expenses Summary'!$F107))</f>
        <v>0</v>
      </c>
      <c r="E152" s="64">
        <f>IF('Expenses Summary'!$F107="","",IF('Cash Flow %s Yr3'!E152="","",'Cash Flow %s Yr3'!E152*'Expenses Summary'!$F107))</f>
        <v>0</v>
      </c>
      <c r="F152" s="64">
        <f>IF('Expenses Summary'!$F107="","",IF('Cash Flow %s Yr3'!F152="","",'Cash Flow %s Yr3'!F152*'Expenses Summary'!$F107))</f>
        <v>0</v>
      </c>
      <c r="G152" s="64">
        <f>IF('Expenses Summary'!$F107="","",IF('Cash Flow %s Yr3'!G152="","",'Cash Flow %s Yr3'!G152*'Expenses Summary'!$F107))</f>
        <v>0</v>
      </c>
      <c r="H152" s="64">
        <f>IF('Expenses Summary'!$F107="","",IF('Cash Flow %s Yr3'!H152="","",'Cash Flow %s Yr3'!H152*'Expenses Summary'!$F107))</f>
        <v>0</v>
      </c>
      <c r="I152" s="64">
        <f>IF('Expenses Summary'!$F107="","",IF('Cash Flow %s Yr3'!I152="","",'Cash Flow %s Yr3'!I152*'Expenses Summary'!$F107))</f>
        <v>0</v>
      </c>
      <c r="J152" s="64">
        <f>IF('Expenses Summary'!$F107="","",IF('Cash Flow %s Yr3'!J152="","",'Cash Flow %s Yr3'!J152*'Expenses Summary'!$F107))</f>
        <v>0</v>
      </c>
      <c r="K152" s="64">
        <f>IF('Expenses Summary'!$F107="","",IF('Cash Flow %s Yr3'!K152="","",'Cash Flow %s Yr3'!K152*'Expenses Summary'!$F107))</f>
        <v>0</v>
      </c>
      <c r="L152" s="64">
        <f>IF('Expenses Summary'!$F107="","",IF('Cash Flow %s Yr3'!L152="","",'Cash Flow %s Yr3'!L152*'Expenses Summary'!$F107))</f>
        <v>0</v>
      </c>
      <c r="M152" s="64">
        <f>IF('Expenses Summary'!$F107="","",IF('Cash Flow %s Yr3'!M152="","",'Cash Flow %s Yr3'!M152*'Expenses Summary'!$F107))</f>
        <v>0</v>
      </c>
      <c r="N152" s="64">
        <f>IF('Expenses Summary'!$F107="","",IF('Cash Flow %s Yr3'!N152="","",'Cash Flow %s Yr3'!N152*'Expenses Summary'!$F107))</f>
        <v>0</v>
      </c>
      <c r="O152" s="64">
        <f>IF('Expenses Summary'!$F107="","",IF('Cash Flow %s Yr3'!O152="","",'Cash Flow %s Yr3'!O152*'Expenses Summary'!$F107))</f>
        <v>74824.334700000007</v>
      </c>
      <c r="P152" s="129"/>
      <c r="Q152" s="129"/>
      <c r="R152" s="129"/>
      <c r="S152" s="111">
        <f>IF(SUM(D152:R152)&gt;0,SUM(D152:R152)/'Expenses Summary'!$F107,"")</f>
        <v>1</v>
      </c>
    </row>
    <row r="153" spans="1:19" s="31" customFormat="1" x14ac:dyDescent="0.2">
      <c r="A153" s="36"/>
      <c r="B153" s="139" t="str">
        <f>'Expenses Summary'!B108</f>
        <v>7438</v>
      </c>
      <c r="C153" s="139" t="str">
        <f>'Expenses Summary'!C108</f>
        <v xml:space="preserve">Debt </v>
      </c>
      <c r="D153" s="64">
        <f>IF('Expenses Summary'!$F108="","",IF('Cash Flow %s Yr3'!D153="","",'Cash Flow %s Yr3'!D153*'Expenses Summary'!$F108))</f>
        <v>0</v>
      </c>
      <c r="E153" s="64">
        <f>IF('Expenses Summary'!$F108="","",IF('Cash Flow %s Yr3'!E153="","",'Cash Flow %s Yr3'!E153*'Expenses Summary'!$F108))</f>
        <v>0</v>
      </c>
      <c r="F153" s="64">
        <f>IF('Expenses Summary'!$F108="","",IF('Cash Flow %s Yr3'!F153="","",'Cash Flow %s Yr3'!F153*'Expenses Summary'!$F108))</f>
        <v>0</v>
      </c>
      <c r="G153" s="64">
        <f>IF('Expenses Summary'!$F108="","",IF('Cash Flow %s Yr3'!G153="","",'Cash Flow %s Yr3'!G153*'Expenses Summary'!$F108))</f>
        <v>0</v>
      </c>
      <c r="H153" s="64">
        <f>IF('Expenses Summary'!$F108="","",IF('Cash Flow %s Yr3'!H153="","",'Cash Flow %s Yr3'!H153*'Expenses Summary'!$F108))</f>
        <v>0</v>
      </c>
      <c r="I153" s="64">
        <f>IF('Expenses Summary'!$F108="","",IF('Cash Flow %s Yr3'!I153="","",'Cash Flow %s Yr3'!I153*'Expenses Summary'!$F108))</f>
        <v>0</v>
      </c>
      <c r="J153" s="64">
        <f>IF('Expenses Summary'!$F108="","",IF('Cash Flow %s Yr3'!J153="","",'Cash Flow %s Yr3'!J153*'Expenses Summary'!$F108))</f>
        <v>0</v>
      </c>
      <c r="K153" s="64">
        <f>IF('Expenses Summary'!$F108="","",IF('Cash Flow %s Yr3'!K153="","",'Cash Flow %s Yr3'!K153*'Expenses Summary'!$F108))</f>
        <v>0</v>
      </c>
      <c r="L153" s="64">
        <f>IF('Expenses Summary'!$F108="","",IF('Cash Flow %s Yr3'!L153="","",'Cash Flow %s Yr3'!L153*'Expenses Summary'!$F108))</f>
        <v>0</v>
      </c>
      <c r="M153" s="64">
        <f>IF('Expenses Summary'!$F108="","",IF('Cash Flow %s Yr3'!M153="","",'Cash Flow %s Yr3'!M153*'Expenses Summary'!$F108))</f>
        <v>0</v>
      </c>
      <c r="N153" s="64">
        <f>IF('Expenses Summary'!$F108="","",IF('Cash Flow %s Yr3'!N153="","",'Cash Flow %s Yr3'!N153*'Expenses Summary'!$F108))</f>
        <v>0</v>
      </c>
      <c r="O153" s="64">
        <f>IF('Expenses Summary'!$F108="","",IF('Cash Flow %s Yr3'!O153="","",'Cash Flow %s Yr3'!O153*'Expenses Summary'!$F108))</f>
        <v>0</v>
      </c>
      <c r="P153" s="129"/>
      <c r="Q153" s="129"/>
      <c r="R153" s="129"/>
      <c r="S153" s="111" t="str">
        <f>IF(SUM(D153:R153)&gt;0,SUM(D153:R153)/'Expenses Summary'!$F108,"")</f>
        <v/>
      </c>
    </row>
    <row r="154" spans="1:19" s="31" customFormat="1" x14ac:dyDescent="0.2">
      <c r="A154" s="36"/>
      <c r="B154" s="139" t="str">
        <f>'Expenses Summary'!B109</f>
        <v>7500</v>
      </c>
      <c r="C154" s="139" t="str">
        <f>'Expenses Summary'!C109</f>
        <v>District Oversight Fee</v>
      </c>
      <c r="D154" s="64">
        <f>IF('Expenses Summary'!$F109="","",IF('Cash Flow %s Yr3'!D154="","",'Cash Flow %s Yr3'!D154*'Expenses Summary'!$F109))</f>
        <v>0</v>
      </c>
      <c r="E154" s="64">
        <f>IF('Expenses Summary'!$F109="","",IF('Cash Flow %s Yr3'!E154="","",'Cash Flow %s Yr3'!E154*'Expenses Summary'!$F109))</f>
        <v>0</v>
      </c>
      <c r="F154" s="64">
        <f>IF('Expenses Summary'!$F109="","",IF('Cash Flow %s Yr3'!F154="","",'Cash Flow %s Yr3'!F154*'Expenses Summary'!$F109))</f>
        <v>0</v>
      </c>
      <c r="G154" s="64">
        <f>IF('Expenses Summary'!$F109="","",IF('Cash Flow %s Yr3'!G154="","",'Cash Flow %s Yr3'!G154*'Expenses Summary'!$F109))</f>
        <v>0</v>
      </c>
      <c r="H154" s="64">
        <f>IF('Expenses Summary'!$F109="","",IF('Cash Flow %s Yr3'!H154="","",'Cash Flow %s Yr3'!H154*'Expenses Summary'!$F109))</f>
        <v>0</v>
      </c>
      <c r="I154" s="64">
        <f>IF('Expenses Summary'!$F109="","",IF('Cash Flow %s Yr3'!I154="","",'Cash Flow %s Yr3'!I154*'Expenses Summary'!$F109))</f>
        <v>0</v>
      </c>
      <c r="J154" s="64">
        <f>IF('Expenses Summary'!$F109="","",IF('Cash Flow %s Yr3'!J154="","",'Cash Flow %s Yr3'!J154*'Expenses Summary'!$F109))</f>
        <v>0</v>
      </c>
      <c r="K154" s="64">
        <f>IF('Expenses Summary'!$F109="","",IF('Cash Flow %s Yr3'!K154="","",'Cash Flow %s Yr3'!K154*'Expenses Summary'!$F109))</f>
        <v>0</v>
      </c>
      <c r="L154" s="64">
        <f>IF('Expenses Summary'!$F109="","",IF('Cash Flow %s Yr3'!L154="","",'Cash Flow %s Yr3'!L154*'Expenses Summary'!$F109))</f>
        <v>0</v>
      </c>
      <c r="M154" s="64">
        <f>IF('Expenses Summary'!$F109="","",IF('Cash Flow %s Yr3'!M154="","",'Cash Flow %s Yr3'!M154*'Expenses Summary'!$F109))</f>
        <v>0</v>
      </c>
      <c r="N154" s="64">
        <f>IF('Expenses Summary'!$F109="","",IF('Cash Flow %s Yr3'!N154="","",'Cash Flow %s Yr3'!N154*'Expenses Summary'!$F109))</f>
        <v>0</v>
      </c>
      <c r="O154" s="64">
        <f>IF('Expenses Summary'!$F109="","",IF('Cash Flow %s Yr3'!O154="","",'Cash Flow %s Yr3'!O154*'Expenses Summary'!$F109))</f>
        <v>0</v>
      </c>
      <c r="P154" s="129"/>
      <c r="Q154" s="129"/>
      <c r="R154" s="129"/>
      <c r="S154" s="111" t="str">
        <f>IF(SUM(D154:R154)&gt;0,SUM(D154:R154)/'Expenses Summary'!$F109,"")</f>
        <v/>
      </c>
    </row>
    <row r="155" spans="1:19" s="31" customFormat="1" x14ac:dyDescent="0.2">
      <c r="A155" s="36"/>
      <c r="B155" s="33" t="s">
        <v>685</v>
      </c>
      <c r="C155" s="34" t="s">
        <v>725</v>
      </c>
      <c r="D155" s="192" t="str">
        <f t="shared" ref="D155:O155" si="12">IF(SUM(D150:D154)&gt;0,SUM(D150:D154),"")</f>
        <v/>
      </c>
      <c r="E155" s="192" t="str">
        <f t="shared" si="12"/>
        <v/>
      </c>
      <c r="F155" s="192" t="str">
        <f t="shared" si="12"/>
        <v/>
      </c>
      <c r="G155" s="192" t="str">
        <f t="shared" si="12"/>
        <v/>
      </c>
      <c r="H155" s="192" t="str">
        <f t="shared" si="12"/>
        <v/>
      </c>
      <c r="I155" s="192" t="str">
        <f t="shared" si="12"/>
        <v/>
      </c>
      <c r="J155" s="192" t="str">
        <f t="shared" si="12"/>
        <v/>
      </c>
      <c r="K155" s="192" t="str">
        <f t="shared" si="12"/>
        <v/>
      </c>
      <c r="L155" s="192" t="str">
        <f t="shared" si="12"/>
        <v/>
      </c>
      <c r="M155" s="192" t="str">
        <f t="shared" si="12"/>
        <v/>
      </c>
      <c r="N155" s="192" t="str">
        <f t="shared" si="12"/>
        <v/>
      </c>
      <c r="O155" s="192">
        <f t="shared" si="12"/>
        <v>74824.334700000007</v>
      </c>
      <c r="P155" s="132"/>
      <c r="Q155" s="132"/>
      <c r="R155" s="132"/>
    </row>
    <row r="156" spans="1:19" s="31" customFormat="1" x14ac:dyDescent="0.2">
      <c r="A156" s="34" t="s">
        <v>732</v>
      </c>
      <c r="B156" s="4"/>
      <c r="C156" s="3"/>
      <c r="D156" s="172" t="e">
        <f t="shared" ref="D156:O156" si="13">IF(SUM(D155,D148,D144,D108,D88,D76,D63)&gt;0,SUM(D155,D148,D144,D108,D88,D76,D63),"")</f>
        <v>#REF!</v>
      </c>
      <c r="E156" s="172" t="e">
        <f t="shared" si="13"/>
        <v>#REF!</v>
      </c>
      <c r="F156" s="172" t="e">
        <f t="shared" si="13"/>
        <v>#REF!</v>
      </c>
      <c r="G156" s="172" t="e">
        <f t="shared" si="13"/>
        <v>#REF!</v>
      </c>
      <c r="H156" s="172" t="e">
        <f t="shared" si="13"/>
        <v>#REF!</v>
      </c>
      <c r="I156" s="172" t="e">
        <f t="shared" si="13"/>
        <v>#REF!</v>
      </c>
      <c r="J156" s="172" t="e">
        <f t="shared" si="13"/>
        <v>#REF!</v>
      </c>
      <c r="K156" s="172" t="e">
        <f t="shared" si="13"/>
        <v>#REF!</v>
      </c>
      <c r="L156" s="172" t="e">
        <f t="shared" si="13"/>
        <v>#REF!</v>
      </c>
      <c r="M156" s="172" t="e">
        <f t="shared" si="13"/>
        <v>#REF!</v>
      </c>
      <c r="N156" s="172" t="e">
        <f t="shared" si="13"/>
        <v>#REF!</v>
      </c>
      <c r="O156" s="172" t="e">
        <f t="shared" si="13"/>
        <v>#REF!</v>
      </c>
      <c r="P156" s="95"/>
      <c r="Q156" s="95"/>
      <c r="R156" s="95"/>
    </row>
    <row r="157" spans="1:19" s="31" customFormat="1" x14ac:dyDescent="0.2">
      <c r="A157" s="34"/>
      <c r="B157" s="4"/>
      <c r="C157" s="3"/>
      <c r="D157" s="46"/>
      <c r="E157" s="46"/>
      <c r="F157" s="46"/>
      <c r="G157" s="46"/>
      <c r="H157" s="46"/>
      <c r="I157" s="46"/>
      <c r="J157" s="46"/>
      <c r="K157" s="46"/>
      <c r="L157" s="46"/>
      <c r="M157" s="46"/>
      <c r="N157" s="46"/>
      <c r="O157" s="46"/>
      <c r="P157" s="95"/>
      <c r="Q157" s="95"/>
      <c r="R157" s="95"/>
    </row>
    <row r="158" spans="1:19" s="31" customFormat="1" x14ac:dyDescent="0.2">
      <c r="A158" s="36"/>
      <c r="B158" s="34" t="s">
        <v>824</v>
      </c>
      <c r="C158" s="3"/>
      <c r="D158" s="104"/>
      <c r="E158" s="104"/>
      <c r="F158" s="104"/>
      <c r="G158" s="95"/>
      <c r="H158" s="95"/>
      <c r="I158" s="95"/>
      <c r="J158" s="95"/>
      <c r="K158" s="95"/>
      <c r="L158" s="95"/>
      <c r="M158" s="95"/>
      <c r="N158" s="95"/>
      <c r="O158" s="95"/>
      <c r="P158" s="95"/>
      <c r="Q158" s="95"/>
      <c r="R158" s="95"/>
    </row>
    <row r="159" spans="1:19" s="31" customFormat="1" x14ac:dyDescent="0.2">
      <c r="A159" s="36"/>
      <c r="B159" s="66"/>
      <c r="C159" s="66" t="str">
        <f>'Cash Flow %s Yr3'!C158</f>
        <v>Cash balance at previous year end</v>
      </c>
      <c r="D159" s="64" t="e">
        <f>'Cash Flow $s Yr2'!O169</f>
        <v>#REF!</v>
      </c>
      <c r="E159" s="64"/>
      <c r="F159" s="64"/>
      <c r="G159" s="64"/>
      <c r="H159" s="64"/>
      <c r="I159" s="64"/>
      <c r="J159" s="64"/>
      <c r="K159" s="64"/>
      <c r="L159" s="64"/>
      <c r="M159" s="64"/>
      <c r="N159" s="64"/>
      <c r="O159" s="64"/>
      <c r="P159" s="103"/>
      <c r="Q159" s="103"/>
      <c r="R159" s="103"/>
    </row>
    <row r="160" spans="1:19" s="31" customFormat="1" x14ac:dyDescent="0.2">
      <c r="A160" s="36"/>
      <c r="B160" s="66"/>
      <c r="C160" s="135" t="str">
        <f>'Cash Flow %s Yr3'!C159</f>
        <v>Accounts Receivable</v>
      </c>
      <c r="D160" s="64">
        <f>'Cash Flow %s Yr3'!D159*'Cash Flow $s Yr2'!$O160</f>
        <v>0</v>
      </c>
      <c r="E160" s="64">
        <f>'Cash Flow %s Yr3'!E159*'Cash Flow $s Yr2'!$O160</f>
        <v>0</v>
      </c>
      <c r="F160" s="64">
        <f>'Cash Flow %s Yr3'!F159*'Cash Flow $s Yr2'!$O160</f>
        <v>0</v>
      </c>
      <c r="G160" s="64">
        <f>'Cash Flow %s Yr3'!G159*'Cash Flow $s Yr2'!$O160</f>
        <v>0</v>
      </c>
      <c r="H160" s="64">
        <f>'Cash Flow %s Yr3'!H159*'Cash Flow $s Yr2'!$O160</f>
        <v>0</v>
      </c>
      <c r="I160" s="64">
        <f>'Cash Flow %s Yr3'!I159*'Cash Flow $s Yr2'!$O160</f>
        <v>0</v>
      </c>
      <c r="J160" s="64">
        <f>'Cash Flow %s Yr3'!J159*'Cash Flow $s Yr2'!$O160</f>
        <v>0</v>
      </c>
      <c r="K160" s="64">
        <f>'Cash Flow %s Yr3'!K159*'Cash Flow $s Yr2'!$O160</f>
        <v>0</v>
      </c>
      <c r="L160" s="64">
        <f>'Cash Flow %s Yr3'!L159*'Cash Flow $s Yr2'!$O160</f>
        <v>0</v>
      </c>
      <c r="M160" s="64">
        <f>'Cash Flow %s Yr3'!M159*'Cash Flow $s Yr2'!$O160</f>
        <v>0</v>
      </c>
      <c r="N160" s="64">
        <f>'Cash Flow %s Yr3'!N159*'Cash Flow $s Yr2'!$O160</f>
        <v>0</v>
      </c>
      <c r="O160" s="64">
        <f>'Cash Flow %s Yr3'!O159*'Cash Flow $s Yr2'!$O160</f>
        <v>0</v>
      </c>
      <c r="P160" s="191">
        <f>P51</f>
        <v>87180.535486284381</v>
      </c>
      <c r="Q160" s="191">
        <f>Q51</f>
        <v>20193.473466780983</v>
      </c>
      <c r="R160" s="191">
        <f>R51</f>
        <v>0</v>
      </c>
    </row>
    <row r="161" spans="1:18" s="31" customFormat="1" x14ac:dyDescent="0.2">
      <c r="A161" s="36"/>
      <c r="B161" s="66"/>
      <c r="C161" s="135" t="str">
        <f>'Cash Flow %s Yr3'!C160</f>
        <v>Accounts Payable</v>
      </c>
      <c r="D161" s="64">
        <f>'Cash Flow %s Yr3'!D160*'Cash Flow $s Yr2'!$O161</f>
        <v>0</v>
      </c>
      <c r="E161" s="64">
        <f>'Cash Flow %s Yr3'!E160*'Cash Flow $s Yr2'!$O161</f>
        <v>0</v>
      </c>
      <c r="F161" s="64">
        <f>'Cash Flow %s Yr3'!F160*'Cash Flow $s Yr2'!$O161</f>
        <v>0</v>
      </c>
      <c r="G161" s="64">
        <f>'Cash Flow %s Yr3'!G160*'Cash Flow $s Yr2'!$O161</f>
        <v>0</v>
      </c>
      <c r="H161" s="64">
        <f>'Cash Flow %s Yr3'!H160*'Cash Flow $s Yr2'!$O161</f>
        <v>0</v>
      </c>
      <c r="I161" s="64">
        <f>'Cash Flow %s Yr3'!I160*'Cash Flow $s Yr2'!$O161</f>
        <v>0</v>
      </c>
      <c r="J161" s="64">
        <f>'Cash Flow %s Yr3'!J160*'Cash Flow $s Yr2'!$O161</f>
        <v>0</v>
      </c>
      <c r="K161" s="64">
        <f>'Cash Flow %s Yr3'!K160*'Cash Flow $s Yr2'!$O161</f>
        <v>0</v>
      </c>
      <c r="L161" s="64">
        <f>'Cash Flow %s Yr3'!L160*'Cash Flow $s Yr2'!$O161</f>
        <v>0</v>
      </c>
      <c r="M161" s="64">
        <f>'Cash Flow %s Yr3'!M160*'Cash Flow $s Yr2'!$O161</f>
        <v>0</v>
      </c>
      <c r="N161" s="64">
        <f>'Cash Flow %s Yr3'!N160*'Cash Flow $s Yr2'!$O161</f>
        <v>0</v>
      </c>
      <c r="O161" s="64">
        <f>'Cash Flow %s Yr3'!O160*'Cash Flow $s Yr2'!$O161</f>
        <v>0</v>
      </c>
      <c r="P161" s="103"/>
      <c r="Q161" s="103"/>
      <c r="R161" s="103"/>
    </row>
    <row r="162" spans="1:18" s="31" customFormat="1" x14ac:dyDescent="0.2">
      <c r="A162" s="36"/>
      <c r="B162" s="66"/>
      <c r="C162" s="135" t="str">
        <f>'Cash Flow %s Yr3'!C161</f>
        <v>Loan Principal Payable</v>
      </c>
      <c r="D162" s="64"/>
      <c r="E162" s="64"/>
      <c r="F162" s="64"/>
      <c r="G162" s="64"/>
      <c r="H162" s="64"/>
      <c r="I162" s="64"/>
      <c r="J162" s="64"/>
      <c r="K162" s="64"/>
      <c r="L162" s="64"/>
      <c r="M162" s="64"/>
      <c r="N162" s="64"/>
      <c r="O162" s="64"/>
      <c r="P162" s="103"/>
      <c r="Q162" s="103"/>
      <c r="R162" s="103"/>
    </row>
    <row r="163" spans="1:18" s="31" customFormat="1" x14ac:dyDescent="0.2">
      <c r="A163" s="36"/>
      <c r="B163" s="124"/>
      <c r="C163" s="34" t="s">
        <v>725</v>
      </c>
      <c r="D163" s="85" t="e">
        <f>D159+D160-D161-D162</f>
        <v>#REF!</v>
      </c>
      <c r="E163" s="85">
        <f t="shared" ref="E163:O163" si="14">E159+E160-E161-E162</f>
        <v>0</v>
      </c>
      <c r="F163" s="85">
        <f t="shared" si="14"/>
        <v>0</v>
      </c>
      <c r="G163" s="85">
        <f t="shared" si="14"/>
        <v>0</v>
      </c>
      <c r="H163" s="85">
        <f t="shared" si="14"/>
        <v>0</v>
      </c>
      <c r="I163" s="85">
        <f t="shared" si="14"/>
        <v>0</v>
      </c>
      <c r="J163" s="85">
        <f t="shared" si="14"/>
        <v>0</v>
      </c>
      <c r="K163" s="85">
        <f t="shared" si="14"/>
        <v>0</v>
      </c>
      <c r="L163" s="85">
        <f t="shared" si="14"/>
        <v>0</v>
      </c>
      <c r="M163" s="85">
        <f t="shared" si="14"/>
        <v>0</v>
      </c>
      <c r="N163" s="85">
        <f t="shared" si="14"/>
        <v>0</v>
      </c>
      <c r="O163" s="85">
        <f t="shared" si="14"/>
        <v>0</v>
      </c>
      <c r="P163" s="108"/>
      <c r="Q163" s="108"/>
      <c r="R163" s="108"/>
    </row>
    <row r="164" spans="1:18" s="40" customFormat="1" ht="17" thickBot="1" x14ac:dyDescent="0.25">
      <c r="A164" s="36"/>
      <c r="C164" s="1"/>
      <c r="D164" s="95"/>
      <c r="E164" s="95"/>
      <c r="F164" s="95"/>
      <c r="G164" s="95"/>
      <c r="H164" s="95"/>
      <c r="I164" s="95"/>
      <c r="J164" s="95"/>
      <c r="K164" s="95"/>
      <c r="L164" s="95"/>
      <c r="M164" s="95"/>
      <c r="N164" s="95"/>
      <c r="O164" s="95"/>
      <c r="P164" s="95"/>
      <c r="Q164" s="95"/>
      <c r="R164" s="95"/>
    </row>
    <row r="165" spans="1:18" s="40" customFormat="1" ht="17" thickBot="1" x14ac:dyDescent="0.25">
      <c r="A165" s="74" t="s">
        <v>831</v>
      </c>
      <c r="B165" s="131"/>
      <c r="C165" s="75"/>
      <c r="D165" s="151" t="e">
        <f t="shared" ref="D165:O165" si="15">D51-D156</f>
        <v>#REF!</v>
      </c>
      <c r="E165" s="151" t="e">
        <f t="shared" si="15"/>
        <v>#REF!</v>
      </c>
      <c r="F165" s="151" t="e">
        <f t="shared" si="15"/>
        <v>#REF!</v>
      </c>
      <c r="G165" s="151" t="e">
        <f t="shared" si="15"/>
        <v>#REF!</v>
      </c>
      <c r="H165" s="151" t="e">
        <f t="shared" si="15"/>
        <v>#REF!</v>
      </c>
      <c r="I165" s="151" t="e">
        <f t="shared" si="15"/>
        <v>#REF!</v>
      </c>
      <c r="J165" s="151" t="e">
        <f t="shared" si="15"/>
        <v>#REF!</v>
      </c>
      <c r="K165" s="151" t="e">
        <f t="shared" si="15"/>
        <v>#REF!</v>
      </c>
      <c r="L165" s="151" t="e">
        <f t="shared" si="15"/>
        <v>#REF!</v>
      </c>
      <c r="M165" s="151" t="e">
        <f t="shared" si="15"/>
        <v>#REF!</v>
      </c>
      <c r="N165" s="151" t="e">
        <f t="shared" si="15"/>
        <v>#REF!</v>
      </c>
      <c r="O165" s="152" t="e">
        <f t="shared" si="15"/>
        <v>#REF!</v>
      </c>
      <c r="P165" s="95"/>
      <c r="Q165" s="95"/>
      <c r="R165" s="95"/>
    </row>
    <row r="166" spans="1:18" s="40" customFormat="1" ht="17" thickBot="1" x14ac:dyDescent="0.25">
      <c r="A166" s="36"/>
      <c r="C166" s="1"/>
      <c r="D166" s="153"/>
      <c r="E166" s="153"/>
      <c r="F166" s="153"/>
      <c r="G166" s="153"/>
      <c r="H166" s="153"/>
      <c r="I166" s="153"/>
      <c r="J166" s="153"/>
      <c r="K166" s="153"/>
      <c r="L166" s="153"/>
      <c r="M166" s="153"/>
      <c r="N166" s="153"/>
      <c r="O166" s="153"/>
      <c r="P166" s="95"/>
      <c r="Q166" s="95"/>
      <c r="R166" s="95"/>
    </row>
    <row r="167" spans="1:18" s="40" customFormat="1" ht="17" thickBot="1" x14ac:dyDescent="0.25">
      <c r="A167" s="74" t="s">
        <v>822</v>
      </c>
      <c r="B167" s="131"/>
      <c r="C167" s="75"/>
      <c r="D167" s="151" t="e">
        <f>D163+D165</f>
        <v>#REF!</v>
      </c>
      <c r="E167" s="151" t="e">
        <f t="shared" ref="E167:O167" si="16">E163+E165</f>
        <v>#REF!</v>
      </c>
      <c r="F167" s="151" t="e">
        <f t="shared" si="16"/>
        <v>#REF!</v>
      </c>
      <c r="G167" s="151" t="e">
        <f t="shared" si="16"/>
        <v>#REF!</v>
      </c>
      <c r="H167" s="151" t="e">
        <f t="shared" si="16"/>
        <v>#REF!</v>
      </c>
      <c r="I167" s="151" t="e">
        <f t="shared" si="16"/>
        <v>#REF!</v>
      </c>
      <c r="J167" s="151" t="e">
        <f t="shared" si="16"/>
        <v>#REF!</v>
      </c>
      <c r="K167" s="151" t="e">
        <f t="shared" si="16"/>
        <v>#REF!</v>
      </c>
      <c r="L167" s="151" t="e">
        <f t="shared" si="16"/>
        <v>#REF!</v>
      </c>
      <c r="M167" s="151" t="e">
        <f t="shared" si="16"/>
        <v>#REF!</v>
      </c>
      <c r="N167" s="151" t="e">
        <f t="shared" si="16"/>
        <v>#REF!</v>
      </c>
      <c r="O167" s="152" t="e">
        <f t="shared" si="16"/>
        <v>#REF!</v>
      </c>
      <c r="P167" s="95"/>
      <c r="Q167" s="95"/>
      <c r="R167" s="95"/>
    </row>
    <row r="168" spans="1:18" s="40" customFormat="1" ht="17" thickBot="1" x14ac:dyDescent="0.25">
      <c r="A168" s="36"/>
      <c r="C168" s="1"/>
      <c r="D168" s="95"/>
      <c r="E168" s="95"/>
      <c r="F168" s="95"/>
      <c r="G168" s="95"/>
      <c r="H168" s="95"/>
      <c r="I168" s="95"/>
      <c r="J168" s="95"/>
      <c r="K168" s="95"/>
      <c r="L168" s="95"/>
      <c r="M168" s="95"/>
      <c r="N168" s="95"/>
      <c r="O168" s="95"/>
      <c r="P168" s="95"/>
      <c r="Q168" s="95"/>
      <c r="R168" s="95"/>
    </row>
    <row r="169" spans="1:18" s="40" customFormat="1" ht="17" thickBot="1" x14ac:dyDescent="0.25">
      <c r="A169" s="74" t="s">
        <v>832</v>
      </c>
      <c r="B169" s="131"/>
      <c r="C169" s="75"/>
      <c r="D169" s="151" t="e">
        <f>D167</f>
        <v>#REF!</v>
      </c>
      <c r="E169" s="151" t="e">
        <f>D169+E167</f>
        <v>#REF!</v>
      </c>
      <c r="F169" s="151" t="e">
        <f t="shared" ref="F169:O169" si="17">E169+F167</f>
        <v>#REF!</v>
      </c>
      <c r="G169" s="151" t="e">
        <f t="shared" si="17"/>
        <v>#REF!</v>
      </c>
      <c r="H169" s="151" t="e">
        <f t="shared" si="17"/>
        <v>#REF!</v>
      </c>
      <c r="I169" s="151" t="e">
        <f t="shared" si="17"/>
        <v>#REF!</v>
      </c>
      <c r="J169" s="151" t="e">
        <f t="shared" si="17"/>
        <v>#REF!</v>
      </c>
      <c r="K169" s="151" t="e">
        <f t="shared" si="17"/>
        <v>#REF!</v>
      </c>
      <c r="L169" s="151" t="e">
        <f t="shared" si="17"/>
        <v>#REF!</v>
      </c>
      <c r="M169" s="151" t="e">
        <f t="shared" si="17"/>
        <v>#REF!</v>
      </c>
      <c r="N169" s="151" t="e">
        <f t="shared" si="17"/>
        <v>#REF!</v>
      </c>
      <c r="O169" s="152" t="e">
        <f t="shared" si="17"/>
        <v>#REF!</v>
      </c>
      <c r="P169" s="95"/>
      <c r="Q169" s="95"/>
      <c r="R169" s="95"/>
    </row>
    <row r="170" spans="1:18" s="40" customFormat="1" x14ac:dyDescent="0.2">
      <c r="A170" s="36"/>
      <c r="C170" s="1"/>
      <c r="D170" s="95"/>
      <c r="E170" s="95"/>
      <c r="F170" s="95"/>
      <c r="G170" s="95"/>
      <c r="H170" s="95"/>
      <c r="I170" s="95"/>
      <c r="J170" s="95"/>
      <c r="K170" s="95"/>
      <c r="L170" s="95"/>
      <c r="M170" s="95"/>
      <c r="N170" s="95"/>
      <c r="O170" s="95"/>
      <c r="P170" s="95"/>
      <c r="Q170" s="95"/>
      <c r="R170" s="95"/>
    </row>
    <row r="171" spans="1:18" s="40" customFormat="1" x14ac:dyDescent="0.2">
      <c r="A171" s="36"/>
      <c r="C171" s="1"/>
      <c r="D171" s="95"/>
      <c r="E171" s="95"/>
      <c r="F171" s="95"/>
      <c r="G171" s="95"/>
      <c r="H171" s="95"/>
      <c r="I171" s="95"/>
      <c r="J171" s="95"/>
      <c r="K171" s="95"/>
      <c r="L171" s="95"/>
      <c r="M171" s="95"/>
      <c r="N171" s="95"/>
      <c r="O171" s="95"/>
      <c r="P171" s="95"/>
      <c r="Q171" s="95"/>
      <c r="R171" s="95"/>
    </row>
    <row r="172" spans="1:18" s="40" customFormat="1" x14ac:dyDescent="0.2">
      <c r="A172" s="36"/>
      <c r="C172" s="1"/>
      <c r="D172" s="95"/>
      <c r="E172" s="95"/>
      <c r="F172" s="95"/>
      <c r="G172" s="95"/>
      <c r="H172" s="95"/>
      <c r="I172" s="95"/>
      <c r="J172" s="95"/>
      <c r="K172" s="95"/>
      <c r="L172" s="95"/>
      <c r="M172" s="95"/>
      <c r="N172" s="95"/>
      <c r="O172" s="95"/>
      <c r="P172" s="95"/>
      <c r="Q172" s="95"/>
      <c r="R172" s="95"/>
    </row>
  </sheetData>
  <pageMargins left="0.25" right="0.25" top="0.5" bottom="0.5" header="0.25" footer="0.25"/>
  <pageSetup scale="53" fitToHeight="3" orientation="landscape" r:id="rId1"/>
  <headerFooter alignWithMargins="0">
    <oddHeader>&amp;A</oddHeader>
    <oddFooter>Page &amp;P</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499984740745262"/>
    <pageSetUpPr fitToPage="1"/>
  </sheetPr>
  <dimension ref="A1:X101"/>
  <sheetViews>
    <sheetView workbookViewId="0">
      <pane xSplit="3" ySplit="6" topLeftCell="D7" activePane="bottomRight" state="frozen"/>
      <selection activeCell="D1" sqref="D1:E1048576"/>
      <selection pane="topRight" activeCell="D1" sqref="D1:E1048576"/>
      <selection pane="bottomLeft" activeCell="D1" sqref="D1:E1048576"/>
      <selection pane="bottomRight" activeCell="G27" sqref="G27"/>
    </sheetView>
  </sheetViews>
  <sheetFormatPr baseColWidth="10" defaultColWidth="8.83203125" defaultRowHeight="16" outlineLevelRow="1" x14ac:dyDescent="0.2"/>
  <cols>
    <col min="1" max="1" width="2.1640625" style="6" customWidth="1"/>
    <col min="2" max="2" width="6.6640625" style="7" bestFit="1" customWidth="1"/>
    <col min="3" max="3" width="8.83203125" style="338"/>
    <col min="4" max="5" width="8.83203125" style="283"/>
    <col min="6" max="6" width="8.83203125" style="7"/>
    <col min="7" max="8" width="14.5" style="7" bestFit="1" customWidth="1"/>
    <col min="9" max="9" width="11.5" style="7" bestFit="1" customWidth="1"/>
    <col min="10" max="10" width="11.5" style="7" customWidth="1"/>
    <col min="11" max="11" width="14.6640625" style="6" bestFit="1" customWidth="1"/>
    <col min="12" max="12" width="17.5" style="7" bestFit="1" customWidth="1"/>
    <col min="13" max="13" width="17" style="6" bestFit="1" customWidth="1"/>
    <col min="14" max="16" width="12.1640625" style="6" customWidth="1"/>
    <col min="17" max="17" width="12.1640625" style="7" customWidth="1"/>
    <col min="18" max="19" width="15.5" style="6" customWidth="1"/>
    <col min="20" max="20" width="19.5" style="6" customWidth="1"/>
    <col min="21" max="21" width="18.5" style="6" customWidth="1"/>
    <col min="22" max="22" width="19.6640625" style="6" customWidth="1"/>
    <col min="23" max="24" width="15.5" style="6" customWidth="1"/>
    <col min="25" max="16384" width="8.83203125" style="6"/>
  </cols>
  <sheetData>
    <row r="1" spans="1:24" ht="20" x14ac:dyDescent="0.2">
      <c r="A1" s="22" t="str">
        <f>'Student Info'!$A$1</f>
        <v>Three Rivers Charter School</v>
      </c>
    </row>
    <row r="2" spans="1:24" ht="18" x14ac:dyDescent="0.2">
      <c r="A2" s="21" t="s">
        <v>726</v>
      </c>
      <c r="G2" s="189">
        <v>0.03</v>
      </c>
      <c r="H2" s="190" t="s">
        <v>925</v>
      </c>
      <c r="M2" s="8">
        <v>0.14430000000000001</v>
      </c>
      <c r="N2" s="348">
        <f>'Employee Input 17-18'!N2</f>
        <v>0.11847000000000001</v>
      </c>
      <c r="O2" s="8">
        <f>'Employee Input 17-18'!O2</f>
        <v>6.25E-2</v>
      </c>
      <c r="P2" s="8">
        <f>'Employee Input 17-18'!P2</f>
        <v>1.4500000000000001E-2</v>
      </c>
      <c r="Q2" s="349">
        <f>+'Employee Input 15-16'!Q2</f>
        <v>500</v>
      </c>
      <c r="S2" s="8">
        <f>'Employee Input 17-18'!S2</f>
        <v>0.02</v>
      </c>
      <c r="T2" s="8">
        <f>'Employee Input 17-18'!T2</f>
        <v>1.2E-2</v>
      </c>
      <c r="V2" s="12">
        <f>(0.08*$K2/1000)+(0.025*$K2/1000)+(0.14%*$K2)+(0.05*$K2/10)</f>
        <v>0</v>
      </c>
    </row>
    <row r="3" spans="1:24" ht="18" x14ac:dyDescent="0.2">
      <c r="A3" s="21" t="str">
        <f>'Student Info'!G7</f>
        <v>2018-19</v>
      </c>
      <c r="M3" s="9" t="s">
        <v>562</v>
      </c>
      <c r="N3" s="9" t="s">
        <v>563</v>
      </c>
      <c r="O3" s="9" t="s">
        <v>931</v>
      </c>
      <c r="P3" s="9" t="s">
        <v>672</v>
      </c>
      <c r="Q3" s="9" t="s">
        <v>566</v>
      </c>
      <c r="R3" s="9"/>
      <c r="S3" s="9" t="s">
        <v>670</v>
      </c>
      <c r="T3" s="9" t="s">
        <v>671</v>
      </c>
      <c r="U3" s="9"/>
      <c r="V3" s="9" t="s">
        <v>938</v>
      </c>
    </row>
    <row r="4" spans="1:24" ht="27" customHeight="1" x14ac:dyDescent="0.2"/>
    <row r="5" spans="1:24" x14ac:dyDescent="0.2">
      <c r="B5" s="13" t="s">
        <v>0</v>
      </c>
      <c r="H5" s="17" t="s">
        <v>677</v>
      </c>
      <c r="I5" s="13" t="s">
        <v>743</v>
      </c>
      <c r="J5" s="18"/>
      <c r="K5" s="17" t="s">
        <v>675</v>
      </c>
      <c r="L5" s="13" t="s">
        <v>730</v>
      </c>
      <c r="M5" s="44" t="s">
        <v>30</v>
      </c>
      <c r="N5" s="44" t="s">
        <v>38</v>
      </c>
      <c r="O5" s="44" t="s">
        <v>927</v>
      </c>
      <c r="P5" s="44" t="s">
        <v>929</v>
      </c>
      <c r="Q5" s="45" t="s">
        <v>564</v>
      </c>
      <c r="R5" s="44" t="s">
        <v>718</v>
      </c>
      <c r="S5" s="44" t="s">
        <v>719</v>
      </c>
      <c r="T5" s="44" t="s">
        <v>720</v>
      </c>
      <c r="U5" s="44" t="s">
        <v>936</v>
      </c>
      <c r="V5" s="44" t="s">
        <v>935</v>
      </c>
      <c r="W5" s="19" t="s">
        <v>673</v>
      </c>
      <c r="X5" s="17" t="s">
        <v>677</v>
      </c>
    </row>
    <row r="6" spans="1:24" ht="17" thickBot="1" x14ac:dyDescent="0.25">
      <c r="A6" s="23"/>
      <c r="B6" s="24"/>
      <c r="C6" s="339" t="s">
        <v>1</v>
      </c>
      <c r="D6" s="25" t="s">
        <v>2</v>
      </c>
      <c r="E6" s="25" t="s">
        <v>4</v>
      </c>
      <c r="F6" s="24" t="s">
        <v>3</v>
      </c>
      <c r="G6" s="24" t="s">
        <v>5</v>
      </c>
      <c r="H6" s="26" t="s">
        <v>740</v>
      </c>
      <c r="I6" s="24" t="s">
        <v>744</v>
      </c>
      <c r="J6" s="24" t="s">
        <v>742</v>
      </c>
      <c r="K6" s="26" t="s">
        <v>676</v>
      </c>
      <c r="L6" s="24" t="s">
        <v>731</v>
      </c>
      <c r="M6" s="27" t="s">
        <v>6</v>
      </c>
      <c r="N6" s="27" t="s">
        <v>7</v>
      </c>
      <c r="O6" s="200" t="s">
        <v>928</v>
      </c>
      <c r="P6" s="200" t="s">
        <v>930</v>
      </c>
      <c r="Q6" s="25" t="s">
        <v>565</v>
      </c>
      <c r="R6" s="27" t="s">
        <v>932</v>
      </c>
      <c r="S6" s="200" t="s">
        <v>933</v>
      </c>
      <c r="T6" s="200" t="s">
        <v>934</v>
      </c>
      <c r="U6" s="27" t="s">
        <v>937</v>
      </c>
      <c r="V6" s="200" t="s">
        <v>940</v>
      </c>
      <c r="W6" s="28" t="s">
        <v>674</v>
      </c>
      <c r="X6" s="26" t="s">
        <v>676</v>
      </c>
    </row>
    <row r="7" spans="1:24" x14ac:dyDescent="0.2">
      <c r="B7" s="14">
        <f>IF('Employee Input 17-18'!B7="","",'Employee Input 17-18'!B7)</f>
        <v>1100</v>
      </c>
      <c r="C7" s="340" t="str">
        <f>IF('Employee Input 17-18'!C7="","",'Employee Input 17-18'!C7)</f>
        <v>Kathleen Kasperson</v>
      </c>
      <c r="D7" s="14" t="str">
        <f>IF('Employee Input 17-18'!D7="","",'Employee Input 17-18'!D7)</f>
        <v>Teacher</v>
      </c>
      <c r="E7" s="14" t="str">
        <f>IF('Employee Input 17-18'!E7="","",'Employee Input 17-18'!E7)</f>
        <v>Education</v>
      </c>
      <c r="F7" s="14">
        <f>IF('Employee Input 17-18'!F7="","",'Employee Input 17-18'!F7)</f>
        <v>1</v>
      </c>
      <c r="G7" s="300">
        <f>IF('Employee Input 17-18'!G7="","",'Employee Input 17-18'!G7)*(1+$G$2)</f>
        <v>53209.4395</v>
      </c>
      <c r="H7" s="10">
        <f>IF(F7="","",F7*G7)</f>
        <v>53209.4395</v>
      </c>
      <c r="I7" s="11">
        <f>IF('Employee Input 17-18'!I7="","",'Employee Input 17-18'!I7)</f>
        <v>0</v>
      </c>
      <c r="J7" s="11">
        <f>IF('Employee Input 17-18'!J7="","",'Employee Input 17-18'!J7)</f>
        <v>0</v>
      </c>
      <c r="K7" s="10">
        <f>SUM(H7:J7)</f>
        <v>53209.4395</v>
      </c>
      <c r="L7" s="16" t="str">
        <f>IF('Employee Input 17-18'!L7="","",'Employee Input 17-18'!L7)</f>
        <v>STRS</v>
      </c>
      <c r="M7" s="10">
        <f>IF($L7="STRS",$M$2*$K7,"")</f>
        <v>7678.1221198500007</v>
      </c>
      <c r="N7" s="10" t="str">
        <f>IF($L7="PERS",$N$2*$K7,"")</f>
        <v/>
      </c>
      <c r="O7" s="10" t="str">
        <f>IF($L7="STRS","",$O$2*$K7)</f>
        <v/>
      </c>
      <c r="P7" s="10">
        <f>$P$2*K7</f>
        <v>771.53687275000004</v>
      </c>
      <c r="Q7" s="351">
        <f>+$Q$2</f>
        <v>500</v>
      </c>
      <c r="R7" s="12">
        <f>+'Employee Input 17-18'!R7</f>
        <v>12900</v>
      </c>
      <c r="S7" s="12">
        <f>+K7*$S$2</f>
        <v>1064.1887899999999</v>
      </c>
      <c r="T7" s="12">
        <f>$T$2*$K7</f>
        <v>638.51327400000002</v>
      </c>
      <c r="U7" s="12"/>
      <c r="V7" s="12"/>
      <c r="W7" s="12">
        <f>SUM(R7:V7,M7:P7)</f>
        <v>23052.361056600002</v>
      </c>
      <c r="X7" s="12">
        <f>W7+K7</f>
        <v>76261.800556600007</v>
      </c>
    </row>
    <row r="8" spans="1:24" x14ac:dyDescent="0.2">
      <c r="B8" s="14">
        <f>IF('Employee Input 17-18'!B8="","",'Employee Input 17-18'!B8)</f>
        <v>1100</v>
      </c>
      <c r="C8" s="340" t="str">
        <f>IF('Employee Input 17-18'!C8="","",'Employee Input 17-18'!C8)</f>
        <v>Natalie Shoptaw</v>
      </c>
      <c r="D8" s="14" t="str">
        <f>IF('Employee Input 17-18'!D8="","",'Employee Input 17-18'!D8)</f>
        <v>Teacher</v>
      </c>
      <c r="E8" s="14" t="str">
        <f>IF('Employee Input 17-18'!E8="","",'Employee Input 17-18'!E8)</f>
        <v>Education</v>
      </c>
      <c r="F8" s="14">
        <f>IF('Employee Input 17-18'!F8="","",'Employee Input 17-18'!F8)</f>
        <v>1</v>
      </c>
      <c r="G8" s="300">
        <f>IF('Employee Input 17-18'!G8="","",'Employee Input 17-18'!G8)*(1+$G$2)</f>
        <v>45898.777600000001</v>
      </c>
      <c r="H8" s="10">
        <f t="shared" ref="H8:H17" si="0">IF(F8="","",F8*G8)</f>
        <v>45898.777600000001</v>
      </c>
      <c r="I8" s="11">
        <f>IF('Employee Input 17-18'!I8="","",'Employee Input 17-18'!I8)</f>
        <v>1500</v>
      </c>
      <c r="J8" s="11">
        <f>IF('Employee Input 17-18'!J8="","",'Employee Input 17-18'!J8)</f>
        <v>0</v>
      </c>
      <c r="K8" s="10">
        <f t="shared" ref="K8:K17" si="1">SUM(H8:J8)</f>
        <v>47398.777600000001</v>
      </c>
      <c r="L8" s="16" t="str">
        <f>IF('Employee Input 17-18'!L8="","",'Employee Input 17-18'!L8)</f>
        <v>STRS</v>
      </c>
      <c r="M8" s="10">
        <f t="shared" ref="M8:M25" si="2">IF($L8="STRS",$M$2*$K8,"")</f>
        <v>6839.643607680001</v>
      </c>
      <c r="N8" s="10" t="str">
        <f t="shared" ref="N8:N25" si="3">IF($L8="PERS",$N$2*$K8,"")</f>
        <v/>
      </c>
      <c r="O8" s="10" t="str">
        <f t="shared" ref="O8:O25" si="4">IF($L8="STRS","",$O$2*$K8)</f>
        <v/>
      </c>
      <c r="P8" s="10">
        <f t="shared" ref="P8:P17" si="5">$P$2*K8</f>
        <v>687.28227520000007</v>
      </c>
      <c r="Q8" s="351">
        <f t="shared" ref="Q8:Q25" si="6">+$Q$2</f>
        <v>500</v>
      </c>
      <c r="R8" s="12">
        <f>+'Employee Input 17-18'!R8</f>
        <v>12900</v>
      </c>
      <c r="S8" s="12">
        <f t="shared" ref="S8:S17" si="7">+K8*$S$2</f>
        <v>947.97555199999999</v>
      </c>
      <c r="T8" s="12">
        <f t="shared" ref="T8:T25" si="8">$T$2*$K8</f>
        <v>568.78533119999997</v>
      </c>
      <c r="U8" s="12"/>
      <c r="V8" s="12"/>
      <c r="W8" s="12">
        <f t="shared" ref="W8:W17" si="9">SUM(R8:V8,M8:P8)</f>
        <v>21943.686766080002</v>
      </c>
      <c r="X8" s="12">
        <f t="shared" ref="X8:X17" si="10">W8+K8</f>
        <v>69342.464366080007</v>
      </c>
    </row>
    <row r="9" spans="1:24" x14ac:dyDescent="0.2">
      <c r="B9" s="14">
        <f>IF('Employee Input 17-18'!B9="","",'Employee Input 17-18'!B9)</f>
        <v>1100</v>
      </c>
      <c r="C9" s="340" t="str">
        <f>IF('Employee Input 17-18'!C9="","",'Employee Input 17-18'!C9)</f>
        <v>Samantha Walz</v>
      </c>
      <c r="D9" s="14" t="str">
        <f>IF('Employee Input 17-18'!D9="","",'Employee Input 17-18'!D9)</f>
        <v>Teacher</v>
      </c>
      <c r="E9" s="14" t="str">
        <f>IF('Employee Input 17-18'!E9="","",'Employee Input 17-18'!E9)</f>
        <v>Education</v>
      </c>
      <c r="F9" s="14">
        <f>IF('Employee Input 17-18'!F9="","",'Employee Input 17-18'!F9)</f>
        <v>1</v>
      </c>
      <c r="G9" s="300">
        <f>IF('Employee Input 17-18'!G9="","",'Employee Input 17-18'!G9)*(1+$G$2)</f>
        <v>51659.464599999999</v>
      </c>
      <c r="H9" s="10">
        <f t="shared" si="0"/>
        <v>51659.464599999999</v>
      </c>
      <c r="I9" s="11">
        <f>IF('Employee Input 17-18'!I9="","",'Employee Input 17-18'!I9)</f>
        <v>0</v>
      </c>
      <c r="J9" s="11">
        <f>IF('Employee Input 17-18'!J9="","",'Employee Input 17-18'!J9)</f>
        <v>0</v>
      </c>
      <c r="K9" s="10">
        <f t="shared" si="1"/>
        <v>51659.464599999999</v>
      </c>
      <c r="L9" s="16" t="str">
        <f>IF('Employee Input 17-18'!L9="","",'Employee Input 17-18'!L9)</f>
        <v>STRS</v>
      </c>
      <c r="M9" s="10">
        <f t="shared" si="2"/>
        <v>7454.4607417800007</v>
      </c>
      <c r="N9" s="10" t="str">
        <f t="shared" si="3"/>
        <v/>
      </c>
      <c r="O9" s="10" t="str">
        <f t="shared" si="4"/>
        <v/>
      </c>
      <c r="P9" s="10">
        <f t="shared" si="5"/>
        <v>749.06223670000008</v>
      </c>
      <c r="Q9" s="351">
        <f t="shared" si="6"/>
        <v>500</v>
      </c>
      <c r="R9" s="12">
        <f>+'Employee Input 17-18'!R9</f>
        <v>10500</v>
      </c>
      <c r="S9" s="12">
        <f t="shared" si="7"/>
        <v>1033.189292</v>
      </c>
      <c r="T9" s="12">
        <f t="shared" si="8"/>
        <v>619.91357519999997</v>
      </c>
      <c r="U9" s="12"/>
      <c r="V9" s="12"/>
      <c r="W9" s="12">
        <f t="shared" si="9"/>
        <v>20356.625845679999</v>
      </c>
      <c r="X9" s="12">
        <f t="shared" si="10"/>
        <v>72016.090445679991</v>
      </c>
    </row>
    <row r="10" spans="1:24" x14ac:dyDescent="0.2">
      <c r="B10" s="14">
        <f>IF('Employee Input 17-18'!B10="","",'Employee Input 17-18'!B10)</f>
        <v>1100</v>
      </c>
      <c r="C10" s="340" t="str">
        <f>IF('Employee Input 17-18'!C10="","",'Employee Input 17-18'!C10)</f>
        <v>Maragret Normoyle</v>
      </c>
      <c r="D10" s="14" t="str">
        <f>IF('Employee Input 17-18'!D10="","",'Employee Input 17-18'!D10)</f>
        <v>Teacher</v>
      </c>
      <c r="E10" s="14" t="str">
        <f>IF('Employee Input 17-18'!E10="","",'Employee Input 17-18'!E10)</f>
        <v>Education</v>
      </c>
      <c r="F10" s="14">
        <f>IF('Employee Input 17-18'!F10="","",'Employee Input 17-18'!F10)</f>
        <v>1</v>
      </c>
      <c r="G10" s="300">
        <f>IF('Employee Input 17-18'!G10="","",'Employee Input 17-18'!G10)*(1+$G$2)</f>
        <v>48694.249100000001</v>
      </c>
      <c r="H10" s="10">
        <f t="shared" si="0"/>
        <v>48694.249100000001</v>
      </c>
      <c r="I10" s="11">
        <f>IF('Employee Input 17-18'!I10="","",'Employee Input 17-18'!I10)</f>
        <v>0</v>
      </c>
      <c r="J10" s="11">
        <f>IF('Employee Input 17-18'!J10="","",'Employee Input 17-18'!J10)</f>
        <v>0</v>
      </c>
      <c r="K10" s="10">
        <f t="shared" si="1"/>
        <v>48694.249100000001</v>
      </c>
      <c r="L10" s="16" t="str">
        <f>IF('Employee Input 17-18'!L10="","",'Employee Input 17-18'!L10)</f>
        <v>STRS</v>
      </c>
      <c r="M10" s="10">
        <f t="shared" si="2"/>
        <v>7026.5801451300003</v>
      </c>
      <c r="N10" s="10" t="str">
        <f t="shared" si="3"/>
        <v/>
      </c>
      <c r="O10" s="10" t="str">
        <f t="shared" si="4"/>
        <v/>
      </c>
      <c r="P10" s="10">
        <f t="shared" si="5"/>
        <v>706.06661195000004</v>
      </c>
      <c r="Q10" s="351">
        <f t="shared" si="6"/>
        <v>500</v>
      </c>
      <c r="R10" s="12">
        <f>+'Employee Input 17-18'!R10</f>
        <v>12900</v>
      </c>
      <c r="S10" s="12">
        <f t="shared" si="7"/>
        <v>973.88498200000004</v>
      </c>
      <c r="T10" s="12">
        <f t="shared" si="8"/>
        <v>584.33098919999998</v>
      </c>
      <c r="U10" s="12"/>
      <c r="V10" s="12"/>
      <c r="W10" s="12">
        <f t="shared" si="9"/>
        <v>22190.862728279997</v>
      </c>
      <c r="X10" s="12">
        <f t="shared" si="10"/>
        <v>70885.111828280002</v>
      </c>
    </row>
    <row r="11" spans="1:24" x14ac:dyDescent="0.2">
      <c r="B11" s="14">
        <f>IF('Employee Input 17-18'!B11="","",'Employee Input 17-18'!B11)</f>
        <v>1100</v>
      </c>
      <c r="C11" s="340" t="str">
        <f>IF('Employee Input 17-18'!C11="","",'Employee Input 17-18'!C11)</f>
        <v>Kim Morgan</v>
      </c>
      <c r="D11" s="14" t="str">
        <f>IF('Employee Input 17-18'!D11="","",'Employee Input 17-18'!D11)</f>
        <v>Teacher</v>
      </c>
      <c r="E11" s="14" t="str">
        <f>IF('Employee Input 17-18'!E11="","",'Employee Input 17-18'!E11)</f>
        <v>Education</v>
      </c>
      <c r="F11" s="14">
        <f>IF('Employee Input 17-18'!F11="","",'Employee Input 17-18'!F11)</f>
        <v>1</v>
      </c>
      <c r="G11" s="300">
        <f>IF('Employee Input 17-18'!G11="","",'Employee Input 17-18'!G11)*(1+$G$2)</f>
        <v>51659.464599999999</v>
      </c>
      <c r="H11" s="10">
        <f t="shared" si="0"/>
        <v>51659.464599999999</v>
      </c>
      <c r="I11" s="11">
        <f>IF('Employee Input 17-18'!I11="","",'Employee Input 17-18'!I11)</f>
        <v>0</v>
      </c>
      <c r="J11" s="11">
        <f>IF('Employee Input 17-18'!J11="","",'Employee Input 17-18'!J11)</f>
        <v>0</v>
      </c>
      <c r="K11" s="10">
        <f t="shared" si="1"/>
        <v>51659.464599999999</v>
      </c>
      <c r="L11" s="16" t="str">
        <f>IF('Employee Input 17-18'!L11="","",'Employee Input 17-18'!L11)</f>
        <v>STRS</v>
      </c>
      <c r="M11" s="10">
        <f t="shared" si="2"/>
        <v>7454.4607417800007</v>
      </c>
      <c r="N11" s="10" t="str">
        <f t="shared" si="3"/>
        <v/>
      </c>
      <c r="O11" s="10" t="str">
        <f t="shared" si="4"/>
        <v/>
      </c>
      <c r="P11" s="10">
        <f t="shared" si="5"/>
        <v>749.06223670000008</v>
      </c>
      <c r="Q11" s="351">
        <f t="shared" si="6"/>
        <v>500</v>
      </c>
      <c r="R11" s="12">
        <f>+'Employee Input 17-18'!R11</f>
        <v>12900</v>
      </c>
      <c r="S11" s="12">
        <f t="shared" si="7"/>
        <v>1033.189292</v>
      </c>
      <c r="T11" s="12">
        <f t="shared" si="8"/>
        <v>619.91357519999997</v>
      </c>
      <c r="U11" s="12"/>
      <c r="V11" s="12"/>
      <c r="W11" s="12">
        <f t="shared" si="9"/>
        <v>22756.625845679999</v>
      </c>
      <c r="X11" s="12">
        <f t="shared" si="10"/>
        <v>74416.090445679991</v>
      </c>
    </row>
    <row r="12" spans="1:24" x14ac:dyDescent="0.2">
      <c r="B12" s="14">
        <f>IF('Employee Input 17-18'!B12="","",'Employee Input 17-18'!B12)</f>
        <v>1120</v>
      </c>
      <c r="C12" s="340" t="str">
        <f>IF('Employee Input 17-18'!C12="","",'Employee Input 17-18'!C12)</f>
        <v>Subs</v>
      </c>
      <c r="D12" s="14">
        <f>IF('Employee Input 17-18'!D12="","",'Employee Input 17-18'!D12)</f>
        <v>0</v>
      </c>
      <c r="E12" s="14" t="str">
        <f>IF('Employee Input 17-18'!E12="","",'Employee Input 17-18'!E12)</f>
        <v>Education</v>
      </c>
      <c r="F12" s="14">
        <f>IF('Employee Input 17-18'!F12="","",'Employee Input 17-18'!F12)</f>
        <v>1</v>
      </c>
      <c r="G12" s="300">
        <f>IF('Employee Input 17-18'!G12="","",'Employee Input 17-18'!G12)*(1+$G$2)</f>
        <v>1697.44</v>
      </c>
      <c r="H12" s="10">
        <f t="shared" si="0"/>
        <v>1697.44</v>
      </c>
      <c r="I12" s="11">
        <f>IF('Employee Input 17-18'!I12="","",'Employee Input 17-18'!I12)</f>
        <v>0</v>
      </c>
      <c r="J12" s="11">
        <f>IF('Employee Input 17-18'!J12="","",'Employee Input 17-18'!J12)</f>
        <v>0</v>
      </c>
      <c r="K12" s="10">
        <f t="shared" si="1"/>
        <v>1697.44</v>
      </c>
      <c r="L12" s="16" t="str">
        <f>IF('Employee Input 17-18'!L12="","",'Employee Input 17-18'!L12)</f>
        <v>STRS</v>
      </c>
      <c r="M12" s="10">
        <f t="shared" si="2"/>
        <v>244.94059200000004</v>
      </c>
      <c r="N12" s="10" t="str">
        <f t="shared" si="3"/>
        <v/>
      </c>
      <c r="O12" s="10" t="str">
        <f t="shared" si="4"/>
        <v/>
      </c>
      <c r="P12" s="10">
        <f t="shared" si="5"/>
        <v>24.612880000000001</v>
      </c>
      <c r="Q12" s="351">
        <f t="shared" si="6"/>
        <v>500</v>
      </c>
      <c r="R12" s="12">
        <f>+'Employee Input 17-18'!R12</f>
        <v>0</v>
      </c>
      <c r="S12" s="12">
        <f t="shared" si="7"/>
        <v>33.948799999999999</v>
      </c>
      <c r="T12" s="12">
        <f t="shared" si="8"/>
        <v>20.36928</v>
      </c>
      <c r="U12" s="12"/>
      <c r="V12" s="12"/>
      <c r="W12" s="12">
        <f t="shared" si="9"/>
        <v>323.87155200000007</v>
      </c>
      <c r="X12" s="12">
        <f t="shared" si="10"/>
        <v>2021.3115520000001</v>
      </c>
    </row>
    <row r="13" spans="1:24" x14ac:dyDescent="0.2">
      <c r="B13" s="14">
        <f>IF('Employee Input 17-18'!B13="","",'Employee Input 17-18'!B13)</f>
        <v>1300</v>
      </c>
      <c r="C13" s="340" t="str">
        <f>IF('Employee Input 17-18'!C13="","",'Employee Input 17-18'!C13)</f>
        <v>Roger Coy</v>
      </c>
      <c r="D13" s="14" t="str">
        <f>IF('Employee Input 17-18'!D13="","",'Employee Input 17-18'!D13)</f>
        <v>School Director</v>
      </c>
      <c r="E13" s="14" t="str">
        <f>IF('Employee Input 17-18'!E13="","",'Employee Input 17-18'!E13)</f>
        <v>Support</v>
      </c>
      <c r="F13" s="14">
        <f>IF('Employee Input 17-18'!F13="","",'Employee Input 17-18'!F13)</f>
        <v>1</v>
      </c>
      <c r="G13" s="300">
        <f>IF('Employee Input 17-18'!G13="","",'Employee Input 17-18'!G13)*(1+$G$2)</f>
        <v>68958.5</v>
      </c>
      <c r="H13" s="10">
        <f t="shared" si="0"/>
        <v>68958.5</v>
      </c>
      <c r="I13" s="11">
        <f>IF('Employee Input 17-18'!I13="","",'Employee Input 17-18'!I13)</f>
        <v>1500</v>
      </c>
      <c r="J13" s="11">
        <f>IF('Employee Input 17-18'!J13="","",'Employee Input 17-18'!J13)</f>
        <v>0</v>
      </c>
      <c r="K13" s="10">
        <f t="shared" si="1"/>
        <v>70458.5</v>
      </c>
      <c r="L13" s="16" t="str">
        <f>IF('Employee Input 17-18'!L13="","",'Employee Input 17-18'!L13)</f>
        <v>STRS</v>
      </c>
      <c r="M13" s="10">
        <f t="shared" si="2"/>
        <v>10167.161550000001</v>
      </c>
      <c r="N13" s="10" t="str">
        <f t="shared" si="3"/>
        <v/>
      </c>
      <c r="O13" s="10" t="str">
        <f t="shared" si="4"/>
        <v/>
      </c>
      <c r="P13" s="10">
        <f t="shared" si="5"/>
        <v>1021.6482500000001</v>
      </c>
      <c r="Q13" s="351">
        <f t="shared" si="6"/>
        <v>500</v>
      </c>
      <c r="R13" s="12">
        <f>+'Employee Input 17-18'!R13</f>
        <v>10500</v>
      </c>
      <c r="S13" s="12">
        <f t="shared" si="7"/>
        <v>1409.17</v>
      </c>
      <c r="T13" s="12">
        <f t="shared" si="8"/>
        <v>845.50200000000007</v>
      </c>
      <c r="U13" s="12"/>
      <c r="V13" s="12"/>
      <c r="W13" s="12">
        <f t="shared" si="9"/>
        <v>23943.481800000001</v>
      </c>
      <c r="X13" s="12">
        <f t="shared" si="10"/>
        <v>94401.981800000009</v>
      </c>
    </row>
    <row r="14" spans="1:24" x14ac:dyDescent="0.2">
      <c r="B14" s="14">
        <f>IF('Employee Input 17-18'!B14="","",'Employee Input 17-18'!B14)</f>
        <v>2100</v>
      </c>
      <c r="C14" s="340" t="str">
        <f>IF('Employee Input 17-18'!C14="","",'Employee Input 17-18'!C14)</f>
        <v>3-4 Aide</v>
      </c>
      <c r="D14" s="14" t="str">
        <f>IF('Employee Input 17-18'!D14="","",'Employee Input 17-18'!D14)</f>
        <v>Instructional Aide #1</v>
      </c>
      <c r="E14" s="14" t="str">
        <f>IF('Employee Input 17-18'!E14="","",'Employee Input 17-18'!E14)</f>
        <v>Education</v>
      </c>
      <c r="F14" s="14">
        <f>IF('Employee Input 17-18'!F14="","",'Employee Input 17-18'!F14)</f>
        <v>1</v>
      </c>
      <c r="G14" s="300">
        <f>IF('Employee Input 17-18'!G14="","",'Employee Input 17-18'!G14)*(1+$G$2)</f>
        <v>15043.562</v>
      </c>
      <c r="H14" s="10">
        <f t="shared" si="0"/>
        <v>15043.562</v>
      </c>
      <c r="I14" s="11">
        <f>IF('Employee Input 17-18'!I14="","",'Employee Input 17-18'!I14)</f>
        <v>0</v>
      </c>
      <c r="J14" s="11">
        <f>IF('Employee Input 17-18'!J14="","",'Employee Input 17-18'!J14)</f>
        <v>0</v>
      </c>
      <c r="K14" s="10">
        <f t="shared" si="1"/>
        <v>15043.562</v>
      </c>
      <c r="L14" s="16">
        <f>IF('Employee Input 17-18'!L14="","",'Employee Input 17-18'!L14)</f>
        <v>0</v>
      </c>
      <c r="M14" s="10" t="str">
        <f t="shared" si="2"/>
        <v/>
      </c>
      <c r="N14" s="10" t="str">
        <f t="shared" si="3"/>
        <v/>
      </c>
      <c r="O14" s="10">
        <f t="shared" si="4"/>
        <v>940.22262499999999</v>
      </c>
      <c r="P14" s="10">
        <f t="shared" si="5"/>
        <v>218.13164900000001</v>
      </c>
      <c r="Q14" s="351">
        <f t="shared" si="6"/>
        <v>500</v>
      </c>
      <c r="R14" s="12">
        <f>+'Employee Input 17-18'!R14</f>
        <v>0</v>
      </c>
      <c r="S14" s="12">
        <f t="shared" si="7"/>
        <v>300.87124</v>
      </c>
      <c r="T14" s="12">
        <f t="shared" si="8"/>
        <v>180.52274399999999</v>
      </c>
      <c r="U14" s="12"/>
      <c r="V14" s="12"/>
      <c r="W14" s="12">
        <f t="shared" si="9"/>
        <v>1639.7482579999999</v>
      </c>
      <c r="X14" s="12">
        <f t="shared" si="10"/>
        <v>16683.310258000001</v>
      </c>
    </row>
    <row r="15" spans="1:24" x14ac:dyDescent="0.2">
      <c r="B15" s="14">
        <f>IF('Employee Input 17-18'!B15="","",'Employee Input 17-18'!B15)</f>
        <v>2100</v>
      </c>
      <c r="C15" s="340" t="str">
        <f>IF('Employee Input 17-18'!C15="","",'Employee Input 17-18'!C15)</f>
        <v>7-12 Aide</v>
      </c>
      <c r="D15" s="14" t="str">
        <f>IF('Employee Input 17-18'!D15="","",'Employee Input 17-18'!D15)</f>
        <v>Instructional Aide #2</v>
      </c>
      <c r="E15" s="14" t="str">
        <f>IF('Employee Input 17-18'!E15="","",'Employee Input 17-18'!E15)</f>
        <v>Education</v>
      </c>
      <c r="F15" s="14">
        <f>IF('Employee Input 17-18'!F15="","",'Employee Input 17-18'!F15)</f>
        <v>1</v>
      </c>
      <c r="G15" s="300">
        <f>IF('Employee Input 17-18'!G15="","",'Employee Input 17-18'!G15)*(1+$G$2)</f>
        <v>15043.562</v>
      </c>
      <c r="H15" s="10">
        <f t="shared" si="0"/>
        <v>15043.562</v>
      </c>
      <c r="I15" s="11">
        <f>IF('Employee Input 17-18'!I15="","",'Employee Input 17-18'!I15)</f>
        <v>0</v>
      </c>
      <c r="J15" s="11">
        <f>IF('Employee Input 17-18'!J15="","",'Employee Input 17-18'!J15)</f>
        <v>0</v>
      </c>
      <c r="K15" s="10">
        <f t="shared" si="1"/>
        <v>15043.562</v>
      </c>
      <c r="L15" s="16">
        <f>IF('Employee Input 17-18'!L15="","",'Employee Input 17-18'!L15)</f>
        <v>0</v>
      </c>
      <c r="M15" s="10" t="str">
        <f t="shared" si="2"/>
        <v/>
      </c>
      <c r="N15" s="10" t="str">
        <f t="shared" si="3"/>
        <v/>
      </c>
      <c r="O15" s="10">
        <f t="shared" si="4"/>
        <v>940.22262499999999</v>
      </c>
      <c r="P15" s="10">
        <f t="shared" si="5"/>
        <v>218.13164900000001</v>
      </c>
      <c r="Q15" s="351">
        <f t="shared" si="6"/>
        <v>500</v>
      </c>
      <c r="R15" s="12">
        <f>+'Employee Input 17-18'!R15</f>
        <v>0</v>
      </c>
      <c r="S15" s="12">
        <f t="shared" si="7"/>
        <v>300.87124</v>
      </c>
      <c r="T15" s="12">
        <f t="shared" si="8"/>
        <v>180.52274399999999</v>
      </c>
      <c r="U15" s="12"/>
      <c r="V15" s="12"/>
      <c r="W15" s="12">
        <f t="shared" si="9"/>
        <v>1639.7482579999999</v>
      </c>
      <c r="X15" s="12">
        <f t="shared" si="10"/>
        <v>16683.310258000001</v>
      </c>
    </row>
    <row r="16" spans="1:24" x14ac:dyDescent="0.2">
      <c r="B16" s="14">
        <f>IF('Employee Input 17-18'!B16="","",'Employee Input 17-18'!B16)</f>
        <v>2100</v>
      </c>
      <c r="C16" s="340" t="str">
        <f>IF('Employee Input 17-18'!C16="","",'Employee Input 17-18'!C16)</f>
        <v>5-6 Aide</v>
      </c>
      <c r="D16" s="14" t="str">
        <f>IF('Employee Input 17-18'!D16="","",'Employee Input 17-18'!D16)</f>
        <v>Instructional Aide</v>
      </c>
      <c r="E16" s="14" t="str">
        <f>IF('Employee Input 17-18'!E16="","",'Employee Input 17-18'!E16)</f>
        <v>Education</v>
      </c>
      <c r="F16" s="14">
        <f>IF('Employee Input 17-18'!F16="","",'Employee Input 17-18'!F16)</f>
        <v>1</v>
      </c>
      <c r="G16" s="300">
        <f>IF('Employee Input 17-18'!G16="","",'Employee Input 17-18'!G16)*(1+$G$2)</f>
        <v>15043.562</v>
      </c>
      <c r="H16" s="10">
        <f t="shared" si="0"/>
        <v>15043.562</v>
      </c>
      <c r="I16" s="11">
        <f>IF('Employee Input 17-18'!I16="","",'Employee Input 17-18'!I16)</f>
        <v>0</v>
      </c>
      <c r="J16" s="11">
        <f>IF('Employee Input 17-18'!J16="","",'Employee Input 17-18'!J16)</f>
        <v>0</v>
      </c>
      <c r="K16" s="10">
        <f t="shared" si="1"/>
        <v>15043.562</v>
      </c>
      <c r="L16" s="16">
        <f>IF('Employee Input 17-18'!L16="","",'Employee Input 17-18'!L16)</f>
        <v>0</v>
      </c>
      <c r="M16" s="10" t="str">
        <f t="shared" si="2"/>
        <v/>
      </c>
      <c r="N16" s="10" t="str">
        <f t="shared" si="3"/>
        <v/>
      </c>
      <c r="O16" s="10">
        <f t="shared" si="4"/>
        <v>940.22262499999999</v>
      </c>
      <c r="P16" s="10">
        <f t="shared" si="5"/>
        <v>218.13164900000001</v>
      </c>
      <c r="Q16" s="351">
        <f t="shared" si="6"/>
        <v>500</v>
      </c>
      <c r="R16" s="12">
        <f>+'Employee Input 17-18'!R16</f>
        <v>0</v>
      </c>
      <c r="S16" s="12">
        <f t="shared" si="7"/>
        <v>300.87124</v>
      </c>
      <c r="T16" s="12">
        <f t="shared" si="8"/>
        <v>180.52274399999999</v>
      </c>
      <c r="U16" s="12"/>
      <c r="V16" s="12"/>
      <c r="W16" s="12">
        <f t="shared" si="9"/>
        <v>1639.7482579999999</v>
      </c>
      <c r="X16" s="12">
        <f t="shared" si="10"/>
        <v>16683.310258000001</v>
      </c>
    </row>
    <row r="17" spans="2:24" x14ac:dyDescent="0.2">
      <c r="B17" s="14">
        <f>IF('Employee Input 17-18'!B17="","",'Employee Input 17-18'!B17)</f>
        <v>2100</v>
      </c>
      <c r="C17" s="340" t="str">
        <f>IF('Employee Input 17-18'!C17="","",'Employee Input 17-18'!C17)</f>
        <v>Sarah Haye</v>
      </c>
      <c r="D17" s="14" t="str">
        <f>IF('Employee Input 17-18'!D17="","",'Employee Input 17-18'!D17)</f>
        <v>Instructional Aide</v>
      </c>
      <c r="E17" s="14" t="str">
        <f>IF('Employee Input 17-18'!E17="","",'Employee Input 17-18'!E17)</f>
        <v>Education</v>
      </c>
      <c r="F17" s="14">
        <f>IF('Employee Input 17-18'!F17="","",'Employee Input 17-18'!F17)</f>
        <v>1</v>
      </c>
      <c r="G17" s="300">
        <f>IF('Employee Input 17-18'!G17="","",'Employee Input 17-18'!G17)*(1+$G$2)</f>
        <v>15043.562</v>
      </c>
      <c r="H17" s="10">
        <f t="shared" si="0"/>
        <v>15043.562</v>
      </c>
      <c r="I17" s="11">
        <f>IF('Employee Input 17-18'!I17="","",'Employee Input 17-18'!I17)</f>
        <v>0</v>
      </c>
      <c r="J17" s="11">
        <f>IF('Employee Input 17-18'!J17="","",'Employee Input 17-18'!J17)</f>
        <v>0</v>
      </c>
      <c r="K17" s="10">
        <f t="shared" si="1"/>
        <v>15043.562</v>
      </c>
      <c r="L17" s="16">
        <f>IF('Employee Input 17-18'!L17="","",'Employee Input 17-18'!L17)</f>
        <v>0</v>
      </c>
      <c r="M17" s="10" t="str">
        <f t="shared" si="2"/>
        <v/>
      </c>
      <c r="N17" s="10" t="str">
        <f t="shared" si="3"/>
        <v/>
      </c>
      <c r="O17" s="10">
        <f t="shared" si="4"/>
        <v>940.22262499999999</v>
      </c>
      <c r="P17" s="10">
        <f t="shared" si="5"/>
        <v>218.13164900000001</v>
      </c>
      <c r="Q17" s="351">
        <f t="shared" si="6"/>
        <v>500</v>
      </c>
      <c r="R17" s="12">
        <f>+'Employee Input 17-18'!R17</f>
        <v>0</v>
      </c>
      <c r="S17" s="12">
        <f t="shared" si="7"/>
        <v>300.87124</v>
      </c>
      <c r="T17" s="12">
        <f t="shared" si="8"/>
        <v>180.52274399999999</v>
      </c>
      <c r="U17" s="12"/>
      <c r="V17" s="12"/>
      <c r="W17" s="12">
        <f t="shared" si="9"/>
        <v>1639.7482579999999</v>
      </c>
      <c r="X17" s="12">
        <f t="shared" si="10"/>
        <v>16683.310258000001</v>
      </c>
    </row>
    <row r="18" spans="2:24" x14ac:dyDescent="0.2">
      <c r="B18" s="14">
        <f>IF('Employee Input 17-18'!B18="","",'Employee Input 17-18'!B18)</f>
        <v>2100</v>
      </c>
      <c r="C18" s="340" t="str">
        <f>IF('Employee Input 17-18'!C18="","",'Employee Input 17-18'!C18)</f>
        <v>Bre Goetson</v>
      </c>
      <c r="D18" s="14" t="str">
        <f>IF('Employee Input 17-18'!D18="","",'Employee Input 17-18'!D18)</f>
        <v>Instructional Aide</v>
      </c>
      <c r="E18" s="14" t="str">
        <f>IF('Employee Input 17-18'!E18="","",'Employee Input 17-18'!E18)</f>
        <v>Education</v>
      </c>
      <c r="F18" s="14">
        <f>IF('Employee Input 17-18'!F18="","",'Employee Input 17-18'!F18)</f>
        <v>1</v>
      </c>
      <c r="G18" s="300">
        <f>IF('Employee Input 17-18'!G18="","",'Employee Input 17-18'!G18)*(1+$G$2)</f>
        <v>10609</v>
      </c>
      <c r="H18" s="10">
        <f t="shared" ref="H18:H25" si="11">IF(F18="","",F18*G18)</f>
        <v>10609</v>
      </c>
      <c r="I18" s="11">
        <f>IF('Employee Input 17-18'!I18="","",'Employee Input 17-18'!I18)</f>
        <v>0</v>
      </c>
      <c r="J18" s="11">
        <f>IF('Employee Input 17-18'!J18="","",'Employee Input 17-18'!J18)</f>
        <v>0</v>
      </c>
      <c r="K18" s="10">
        <f t="shared" ref="K18:K25" si="12">SUM(H18:J18)</f>
        <v>10609</v>
      </c>
      <c r="L18" s="16">
        <f>IF('Employee Input 17-18'!L18="","",'Employee Input 17-18'!L18)</f>
        <v>0</v>
      </c>
      <c r="M18" s="10" t="str">
        <f t="shared" si="2"/>
        <v/>
      </c>
      <c r="N18" s="10" t="str">
        <f t="shared" si="3"/>
        <v/>
      </c>
      <c r="O18" s="10">
        <f t="shared" si="4"/>
        <v>663.0625</v>
      </c>
      <c r="P18" s="10">
        <f t="shared" ref="P18:P25" si="13">$P$2*K18</f>
        <v>153.8305</v>
      </c>
      <c r="Q18" s="351">
        <f t="shared" si="6"/>
        <v>500</v>
      </c>
      <c r="R18" s="12">
        <f>+'Employee Input 17-18'!R18</f>
        <v>0</v>
      </c>
      <c r="S18" s="12">
        <f t="shared" ref="S18:S25" si="14">+K18*$S$2</f>
        <v>212.18</v>
      </c>
      <c r="T18" s="12">
        <f t="shared" si="8"/>
        <v>127.30800000000001</v>
      </c>
      <c r="U18" s="12"/>
      <c r="V18" s="12"/>
      <c r="W18" s="12">
        <f t="shared" ref="W18:W25" si="15">SUM(R18:V18,M18:P18)</f>
        <v>1156.3810000000001</v>
      </c>
      <c r="X18" s="12">
        <f t="shared" ref="X18:X25" si="16">W18+K18</f>
        <v>11765.380999999999</v>
      </c>
    </row>
    <row r="19" spans="2:24" x14ac:dyDescent="0.2">
      <c r="B19" s="14">
        <f>IF('Employee Input 17-18'!B19="","",'Employee Input 17-18'!B19)</f>
        <v>2100</v>
      </c>
      <c r="C19" s="340" t="str">
        <f>IF('Employee Input 17-18'!C19="","",'Employee Input 17-18'!C19)</f>
        <v>Cyndi Channel</v>
      </c>
      <c r="D19" s="14" t="str">
        <f>IF('Employee Input 17-18'!D19="","",'Employee Input 17-18'!D19)</f>
        <v>Instructional Aide</v>
      </c>
      <c r="E19" s="14" t="str">
        <f>IF('Employee Input 17-18'!E19="","",'Employee Input 17-18'!E19)</f>
        <v>Education</v>
      </c>
      <c r="F19" s="14">
        <f>IF('Employee Input 17-18'!F19="","",'Employee Input 17-18'!F19)</f>
        <v>1</v>
      </c>
      <c r="G19" s="300">
        <f>IF('Employee Input 17-18'!G19="","",'Employee Input 17-18'!G19)*(1+$G$2)</f>
        <v>5304.5</v>
      </c>
      <c r="H19" s="10">
        <f t="shared" si="11"/>
        <v>5304.5</v>
      </c>
      <c r="I19" s="11">
        <f>IF('Employee Input 17-18'!I19="","",'Employee Input 17-18'!I19)</f>
        <v>0</v>
      </c>
      <c r="J19" s="11">
        <f>IF('Employee Input 17-18'!J19="","",'Employee Input 17-18'!J19)</f>
        <v>0</v>
      </c>
      <c r="K19" s="10">
        <f t="shared" si="12"/>
        <v>5304.5</v>
      </c>
      <c r="L19" s="16">
        <f>IF('Employee Input 17-18'!L19="","",'Employee Input 17-18'!L19)</f>
        <v>0</v>
      </c>
      <c r="M19" s="10" t="str">
        <f t="shared" si="2"/>
        <v/>
      </c>
      <c r="N19" s="10" t="str">
        <f t="shared" si="3"/>
        <v/>
      </c>
      <c r="O19" s="10">
        <f t="shared" si="4"/>
        <v>331.53125</v>
      </c>
      <c r="P19" s="10">
        <f t="shared" si="13"/>
        <v>76.91525</v>
      </c>
      <c r="Q19" s="351">
        <f t="shared" si="6"/>
        <v>500</v>
      </c>
      <c r="R19" s="12">
        <f>+'Employee Input 17-18'!R19</f>
        <v>0</v>
      </c>
      <c r="S19" s="12">
        <f t="shared" si="14"/>
        <v>106.09</v>
      </c>
      <c r="T19" s="12">
        <f t="shared" si="8"/>
        <v>63.654000000000003</v>
      </c>
      <c r="U19" s="12"/>
      <c r="V19" s="12"/>
      <c r="W19" s="12">
        <f t="shared" si="15"/>
        <v>578.19050000000004</v>
      </c>
      <c r="X19" s="12">
        <f t="shared" si="16"/>
        <v>5882.6904999999997</v>
      </c>
    </row>
    <row r="20" spans="2:24" outlineLevel="1" x14ac:dyDescent="0.2">
      <c r="B20" s="14">
        <f>IF('Employee Input 17-18'!B20="","",'Employee Input 17-18'!B20)</f>
        <v>2100</v>
      </c>
      <c r="C20" s="340" t="str">
        <f>IF('Employee Input 17-18'!C20="","",'Employee Input 17-18'!C20)</f>
        <v>Music 1</v>
      </c>
      <c r="D20" s="14" t="str">
        <f>IF('Employee Input 17-18'!D20="","",'Employee Input 17-18'!D20)</f>
        <v>Instructional Aide</v>
      </c>
      <c r="E20" s="14" t="str">
        <f>IF('Employee Input 17-18'!E20="","",'Employee Input 17-18'!E20)</f>
        <v>Education</v>
      </c>
      <c r="F20" s="14">
        <f>IF('Employee Input 17-18'!F20="","",'Employee Input 17-18'!F20)</f>
        <v>1</v>
      </c>
      <c r="G20" s="300">
        <f>IF('Employee Input 17-18'!G20="","",'Employee Input 17-18'!G20)*(1+$G$2)</f>
        <v>5304.5</v>
      </c>
      <c r="H20" s="10">
        <f t="shared" si="11"/>
        <v>5304.5</v>
      </c>
      <c r="I20" s="11">
        <f>IF('Employee Input 17-18'!I20="","",'Employee Input 17-18'!I20)</f>
        <v>0</v>
      </c>
      <c r="J20" s="11">
        <f>IF('Employee Input 17-18'!J20="","",'Employee Input 17-18'!J20)</f>
        <v>0</v>
      </c>
      <c r="K20" s="10">
        <f t="shared" si="12"/>
        <v>5304.5</v>
      </c>
      <c r="L20" s="16">
        <f>IF('Employee Input 17-18'!L20="","",'Employee Input 17-18'!L20)</f>
        <v>0</v>
      </c>
      <c r="M20" s="10" t="str">
        <f t="shared" si="2"/>
        <v/>
      </c>
      <c r="N20" s="10" t="str">
        <f t="shared" si="3"/>
        <v/>
      </c>
      <c r="O20" s="10">
        <f t="shared" si="4"/>
        <v>331.53125</v>
      </c>
      <c r="P20" s="10">
        <f t="shared" si="13"/>
        <v>76.91525</v>
      </c>
      <c r="Q20" s="351">
        <f t="shared" si="6"/>
        <v>500</v>
      </c>
      <c r="R20" s="12">
        <f>+'Employee Input 17-18'!R20</f>
        <v>0</v>
      </c>
      <c r="S20" s="12">
        <f t="shared" si="14"/>
        <v>106.09</v>
      </c>
      <c r="T20" s="12">
        <f t="shared" si="8"/>
        <v>63.654000000000003</v>
      </c>
      <c r="U20" s="12"/>
      <c r="V20" s="12"/>
      <c r="W20" s="12">
        <f t="shared" si="15"/>
        <v>578.19050000000004</v>
      </c>
      <c r="X20" s="12">
        <f t="shared" si="16"/>
        <v>5882.6904999999997</v>
      </c>
    </row>
    <row r="21" spans="2:24" outlineLevel="1" x14ac:dyDescent="0.2">
      <c r="B21" s="14">
        <f>IF('Employee Input 17-18'!B21="","",'Employee Input 17-18'!B21)</f>
        <v>2100</v>
      </c>
      <c r="C21" s="340" t="str">
        <f>IF('Employee Input 17-18'!C21="","",'Employee Input 17-18'!C21)</f>
        <v>Music 2</v>
      </c>
      <c r="D21" s="14" t="str">
        <f>IF('Employee Input 17-18'!D21="","",'Employee Input 17-18'!D21)</f>
        <v>Instructional Aide</v>
      </c>
      <c r="E21" s="14" t="str">
        <f>IF('Employee Input 17-18'!E21="","",'Employee Input 17-18'!E21)</f>
        <v>Education</v>
      </c>
      <c r="F21" s="14">
        <f>IF('Employee Input 17-18'!F21="","",'Employee Input 17-18'!F21)</f>
        <v>1</v>
      </c>
      <c r="G21" s="300">
        <f>IF('Employee Input 17-18'!G21="","",'Employee Input 17-18'!G21)*(1+$G$2)</f>
        <v>4243.6000000000004</v>
      </c>
      <c r="H21" s="10">
        <f t="shared" si="11"/>
        <v>4243.6000000000004</v>
      </c>
      <c r="I21" s="11">
        <f>IF('Employee Input 17-18'!I21="","",'Employee Input 17-18'!I21)</f>
        <v>0</v>
      </c>
      <c r="J21" s="11">
        <f>IF('Employee Input 17-18'!J21="","",'Employee Input 17-18'!J21)</f>
        <v>0</v>
      </c>
      <c r="K21" s="10">
        <f t="shared" si="12"/>
        <v>4243.6000000000004</v>
      </c>
      <c r="L21" s="16">
        <f>IF('Employee Input 17-18'!L21="","",'Employee Input 17-18'!L21)</f>
        <v>0</v>
      </c>
      <c r="M21" s="10" t="str">
        <f t="shared" si="2"/>
        <v/>
      </c>
      <c r="N21" s="10" t="str">
        <f t="shared" si="3"/>
        <v/>
      </c>
      <c r="O21" s="10">
        <f t="shared" si="4"/>
        <v>265.22500000000002</v>
      </c>
      <c r="P21" s="10">
        <f t="shared" si="13"/>
        <v>61.53220000000001</v>
      </c>
      <c r="Q21" s="351">
        <f t="shared" si="6"/>
        <v>500</v>
      </c>
      <c r="R21" s="12">
        <f>+'Employee Input 17-18'!R21</f>
        <v>0</v>
      </c>
      <c r="S21" s="12">
        <f t="shared" si="14"/>
        <v>84.872000000000014</v>
      </c>
      <c r="T21" s="12">
        <f t="shared" si="8"/>
        <v>50.923200000000008</v>
      </c>
      <c r="U21" s="12"/>
      <c r="V21" s="12"/>
      <c r="W21" s="12">
        <f t="shared" si="15"/>
        <v>462.55240000000003</v>
      </c>
      <c r="X21" s="12">
        <f t="shared" si="16"/>
        <v>4706.1524000000009</v>
      </c>
    </row>
    <row r="22" spans="2:24" outlineLevel="1" x14ac:dyDescent="0.2">
      <c r="B22" s="14">
        <f>IF('Employee Input 17-18'!B22="","",'Employee Input 17-18'!B22)</f>
        <v>2100</v>
      </c>
      <c r="C22" s="340" t="str">
        <f>IF('Employee Input 17-18'!C22="","",'Employee Input 17-18'!C22)</f>
        <v>Music 3</v>
      </c>
      <c r="D22" s="14" t="str">
        <f>IF('Employee Input 17-18'!D22="","",'Employee Input 17-18'!D22)</f>
        <v>Instructional Aide</v>
      </c>
      <c r="E22" s="14" t="str">
        <f>IF('Employee Input 17-18'!E22="","",'Employee Input 17-18'!E22)</f>
        <v>Education</v>
      </c>
      <c r="F22" s="14">
        <f>IF('Employee Input 17-18'!F22="","",'Employee Input 17-18'!F22)</f>
        <v>1</v>
      </c>
      <c r="G22" s="300">
        <f>IF('Employee Input 17-18'!G22="","",'Employee Input 17-18'!G22)*(1+$G$2)</f>
        <v>2652.25</v>
      </c>
      <c r="H22" s="10">
        <f t="shared" si="11"/>
        <v>2652.25</v>
      </c>
      <c r="I22" s="11">
        <f>IF('Employee Input 17-18'!I22="","",'Employee Input 17-18'!I22)</f>
        <v>0</v>
      </c>
      <c r="J22" s="11">
        <f>IF('Employee Input 17-18'!J22="","",'Employee Input 17-18'!J22)</f>
        <v>0</v>
      </c>
      <c r="K22" s="10">
        <f t="shared" si="12"/>
        <v>2652.25</v>
      </c>
      <c r="L22" s="16">
        <f>IF('Employee Input 17-18'!L22="","",'Employee Input 17-18'!L22)</f>
        <v>0</v>
      </c>
      <c r="M22" s="10" t="str">
        <f t="shared" si="2"/>
        <v/>
      </c>
      <c r="N22" s="10" t="str">
        <f t="shared" si="3"/>
        <v/>
      </c>
      <c r="O22" s="10">
        <f t="shared" si="4"/>
        <v>165.765625</v>
      </c>
      <c r="P22" s="10">
        <f t="shared" si="13"/>
        <v>38.457625</v>
      </c>
      <c r="Q22" s="351">
        <f t="shared" si="6"/>
        <v>500</v>
      </c>
      <c r="R22" s="12">
        <f>+'Employee Input 17-18'!R22</f>
        <v>0</v>
      </c>
      <c r="S22" s="12">
        <f t="shared" si="14"/>
        <v>53.045000000000002</v>
      </c>
      <c r="T22" s="12">
        <f t="shared" si="8"/>
        <v>31.827000000000002</v>
      </c>
      <c r="U22" s="12"/>
      <c r="V22" s="12"/>
      <c r="W22" s="12">
        <f t="shared" si="15"/>
        <v>289.09525000000002</v>
      </c>
      <c r="X22" s="12">
        <f t="shared" si="16"/>
        <v>2941.3452499999999</v>
      </c>
    </row>
    <row r="23" spans="2:24" outlineLevel="1" x14ac:dyDescent="0.2">
      <c r="B23" s="14">
        <f>IF('Employee Input 17-18'!B23="","",'Employee Input 17-18'!B23)</f>
        <v>2100</v>
      </c>
      <c r="C23" s="340" t="str">
        <f>IF('Employee Input 17-18'!C23="","",'Employee Input 17-18'!C23)</f>
        <v>Music 4</v>
      </c>
      <c r="D23" s="14" t="str">
        <f>IF('Employee Input 17-18'!D23="","",'Employee Input 17-18'!D23)</f>
        <v>Instructional Aide</v>
      </c>
      <c r="E23" s="14" t="str">
        <f>IF('Employee Input 17-18'!E23="","",'Employee Input 17-18'!E23)</f>
        <v>Education</v>
      </c>
      <c r="F23" s="14">
        <f>IF('Employee Input 17-18'!F23="","",'Employee Input 17-18'!F23)</f>
        <v>1</v>
      </c>
      <c r="G23" s="300">
        <f>IF('Employee Input 17-18'!G23="","",'Employee Input 17-18'!G23)*(1+$G$2)</f>
        <v>1591.3500000000001</v>
      </c>
      <c r="H23" s="10">
        <f t="shared" si="11"/>
        <v>1591.3500000000001</v>
      </c>
      <c r="I23" s="11">
        <f>IF('Employee Input 17-18'!I23="","",'Employee Input 17-18'!I23)</f>
        <v>0</v>
      </c>
      <c r="J23" s="11">
        <f>IF('Employee Input 17-18'!J23="","",'Employee Input 17-18'!J23)</f>
        <v>0</v>
      </c>
      <c r="K23" s="10">
        <f t="shared" si="12"/>
        <v>1591.3500000000001</v>
      </c>
      <c r="L23" s="16">
        <f>IF('Employee Input 17-18'!L23="","",'Employee Input 17-18'!L23)</f>
        <v>0</v>
      </c>
      <c r="M23" s="10" t="str">
        <f t="shared" si="2"/>
        <v/>
      </c>
      <c r="N23" s="10" t="str">
        <f t="shared" si="3"/>
        <v/>
      </c>
      <c r="O23" s="10">
        <f t="shared" si="4"/>
        <v>99.459375000000009</v>
      </c>
      <c r="P23" s="10">
        <f t="shared" si="13"/>
        <v>23.074575000000003</v>
      </c>
      <c r="Q23" s="351">
        <f t="shared" si="6"/>
        <v>500</v>
      </c>
      <c r="R23" s="12">
        <f>+'Employee Input 17-18'!R23</f>
        <v>0</v>
      </c>
      <c r="S23" s="12">
        <f t="shared" si="14"/>
        <v>31.827000000000002</v>
      </c>
      <c r="T23" s="12">
        <f t="shared" si="8"/>
        <v>19.096200000000003</v>
      </c>
      <c r="U23" s="12"/>
      <c r="V23" s="12"/>
      <c r="W23" s="12">
        <f t="shared" si="15"/>
        <v>173.45715000000004</v>
      </c>
      <c r="X23" s="12">
        <f t="shared" si="16"/>
        <v>1764.8071500000001</v>
      </c>
    </row>
    <row r="24" spans="2:24" outlineLevel="1" x14ac:dyDescent="0.2">
      <c r="B24" s="14">
        <f>IF('Employee Input 17-18'!B24="","",'Employee Input 17-18'!B24)</f>
        <v>2100</v>
      </c>
      <c r="C24" s="340" t="str">
        <f>IF('Employee Input 17-18'!C24="","",'Employee Input 17-18'!C24)</f>
        <v>Tutor</v>
      </c>
      <c r="D24" s="14" t="str">
        <f>IF('Employee Input 17-18'!D24="","",'Employee Input 17-18'!D24)</f>
        <v>Instructional Aide</v>
      </c>
      <c r="E24" s="14" t="str">
        <f>IF('Employee Input 17-18'!E24="","",'Employee Input 17-18'!E24)</f>
        <v>Education</v>
      </c>
      <c r="F24" s="14">
        <f>IF('Employee Input 17-18'!F24="","",'Employee Input 17-18'!F24)</f>
        <v>1</v>
      </c>
      <c r="G24" s="300">
        <f>IF('Employee Input 17-18'!G24="","",'Employee Input 17-18'!G24)*(1+$G$2)</f>
        <v>5304.5</v>
      </c>
      <c r="H24" s="10">
        <f t="shared" si="11"/>
        <v>5304.5</v>
      </c>
      <c r="I24" s="11">
        <f>IF('Employee Input 17-18'!I24="","",'Employee Input 17-18'!I24)</f>
        <v>0</v>
      </c>
      <c r="J24" s="11">
        <f>IF('Employee Input 17-18'!J24="","",'Employee Input 17-18'!J24)</f>
        <v>0</v>
      </c>
      <c r="K24" s="10">
        <f t="shared" si="12"/>
        <v>5304.5</v>
      </c>
      <c r="L24" s="16">
        <f>IF('Employee Input 17-18'!L24="","",'Employee Input 17-18'!L24)</f>
        <v>0</v>
      </c>
      <c r="M24" s="10" t="str">
        <f t="shared" si="2"/>
        <v/>
      </c>
      <c r="N24" s="10" t="str">
        <f t="shared" si="3"/>
        <v/>
      </c>
      <c r="O24" s="10">
        <f t="shared" si="4"/>
        <v>331.53125</v>
      </c>
      <c r="P24" s="10">
        <f t="shared" si="13"/>
        <v>76.91525</v>
      </c>
      <c r="Q24" s="351">
        <f t="shared" si="6"/>
        <v>500</v>
      </c>
      <c r="R24" s="12">
        <f>+'Employee Input 17-18'!R24</f>
        <v>0</v>
      </c>
      <c r="S24" s="12">
        <f t="shared" si="14"/>
        <v>106.09</v>
      </c>
      <c r="T24" s="12">
        <f t="shared" si="8"/>
        <v>63.654000000000003</v>
      </c>
      <c r="U24" s="12"/>
      <c r="V24" s="12"/>
      <c r="W24" s="12">
        <f t="shared" si="15"/>
        <v>578.19050000000004</v>
      </c>
      <c r="X24" s="12">
        <f t="shared" si="16"/>
        <v>5882.6904999999997</v>
      </c>
    </row>
    <row r="25" spans="2:24" outlineLevel="1" x14ac:dyDescent="0.2">
      <c r="B25" s="14">
        <f>IF('Employee Input 17-18'!B25="","",'Employee Input 17-18'!B25)</f>
        <v>2400</v>
      </c>
      <c r="C25" s="340" t="str">
        <f>IF('Employee Input 17-18'!C25="","",'Employee Input 17-18'!C25)</f>
        <v>Marcia Mollett</v>
      </c>
      <c r="D25" s="14" t="str">
        <f>IF('Employee Input 17-18'!D25="","",'Employee Input 17-18'!D25)</f>
        <v>Support</v>
      </c>
      <c r="E25" s="14" t="str">
        <f>IF('Employee Input 17-18'!E25="","",'Employee Input 17-18'!E25)</f>
        <v>Support</v>
      </c>
      <c r="F25" s="14">
        <f>IF('Employee Input 17-18'!F25="","",'Employee Input 17-18'!F25)</f>
        <v>1</v>
      </c>
      <c r="G25" s="300">
        <f>IF('Employee Input 17-18'!G25="","",'Employee Input 17-18'!G25)*(1+$G$2)</f>
        <v>19732.740000000002</v>
      </c>
      <c r="H25" s="10">
        <f t="shared" si="11"/>
        <v>19732.740000000002</v>
      </c>
      <c r="I25" s="11">
        <f>IF('Employee Input 17-18'!I25="","",'Employee Input 17-18'!I25)</f>
        <v>0</v>
      </c>
      <c r="J25" s="11">
        <f>IF('Employee Input 17-18'!J25="","",'Employee Input 17-18'!J25)</f>
        <v>0</v>
      </c>
      <c r="K25" s="10">
        <f t="shared" si="12"/>
        <v>19732.740000000002</v>
      </c>
      <c r="L25" s="16">
        <f>IF('Employee Input 17-18'!L25="","",'Employee Input 17-18'!L25)</f>
        <v>0</v>
      </c>
      <c r="M25" s="10" t="str">
        <f t="shared" si="2"/>
        <v/>
      </c>
      <c r="N25" s="10" t="str">
        <f t="shared" si="3"/>
        <v/>
      </c>
      <c r="O25" s="10">
        <f t="shared" si="4"/>
        <v>1233.2962500000001</v>
      </c>
      <c r="P25" s="10">
        <f t="shared" si="13"/>
        <v>286.12473000000006</v>
      </c>
      <c r="Q25" s="351">
        <f t="shared" si="6"/>
        <v>500</v>
      </c>
      <c r="R25" s="12">
        <f>+'Employee Input 17-18'!R25</f>
        <v>8400</v>
      </c>
      <c r="S25" s="12">
        <f t="shared" si="14"/>
        <v>394.65480000000002</v>
      </c>
      <c r="T25" s="12">
        <f t="shared" si="8"/>
        <v>236.79288000000003</v>
      </c>
      <c r="U25" s="12"/>
      <c r="V25" s="12"/>
      <c r="W25" s="12">
        <f t="shared" si="15"/>
        <v>10550.86866</v>
      </c>
      <c r="X25" s="12">
        <f t="shared" si="16"/>
        <v>30283.608660000002</v>
      </c>
    </row>
    <row r="26" spans="2:24" outlineLevel="1" x14ac:dyDescent="0.2">
      <c r="B26" s="14"/>
      <c r="C26" s="340"/>
      <c r="D26" s="14"/>
      <c r="E26" s="14"/>
      <c r="F26" s="14"/>
      <c r="G26" s="300"/>
      <c r="H26" s="10"/>
      <c r="I26" s="11"/>
      <c r="J26" s="11"/>
      <c r="K26" s="10"/>
      <c r="L26" s="16"/>
      <c r="M26" s="10"/>
      <c r="N26" s="10"/>
      <c r="O26" s="10"/>
      <c r="P26" s="10"/>
      <c r="Q26" s="351"/>
      <c r="R26" s="12"/>
      <c r="S26" s="12"/>
      <c r="T26" s="12"/>
      <c r="U26" s="12"/>
      <c r="V26" s="12"/>
      <c r="W26" s="12"/>
      <c r="X26" s="12"/>
    </row>
    <row r="27" spans="2:24" outlineLevel="1" x14ac:dyDescent="0.2">
      <c r="B27" s="14"/>
      <c r="C27" s="340"/>
      <c r="D27" s="14"/>
      <c r="E27" s="14"/>
      <c r="F27" s="14"/>
      <c r="G27" s="300"/>
      <c r="H27" s="10"/>
      <c r="I27" s="11"/>
      <c r="J27" s="11"/>
      <c r="K27" s="10"/>
      <c r="L27" s="16"/>
      <c r="M27" s="10"/>
      <c r="N27" s="10"/>
      <c r="O27" s="10"/>
      <c r="P27" s="10"/>
      <c r="Q27" s="304"/>
      <c r="R27" s="12"/>
      <c r="S27" s="12"/>
      <c r="T27" s="12"/>
      <c r="U27" s="12"/>
      <c r="V27" s="12"/>
      <c r="W27" s="12"/>
      <c r="X27" s="12"/>
    </row>
    <row r="28" spans="2:24" outlineLevel="1" x14ac:dyDescent="0.2">
      <c r="B28" s="14"/>
      <c r="C28" s="340"/>
      <c r="D28" s="14"/>
      <c r="E28" s="14"/>
      <c r="F28" s="14"/>
      <c r="G28" s="300"/>
      <c r="H28" s="10"/>
      <c r="I28" s="11"/>
      <c r="J28" s="11"/>
      <c r="K28" s="10"/>
      <c r="L28" s="16"/>
      <c r="M28" s="10"/>
      <c r="N28" s="10"/>
      <c r="O28" s="10"/>
      <c r="P28" s="10"/>
      <c r="Q28" s="304"/>
      <c r="R28" s="12"/>
      <c r="S28" s="12"/>
      <c r="T28" s="12"/>
      <c r="U28" s="12"/>
      <c r="V28" s="12"/>
      <c r="W28" s="12"/>
      <c r="X28" s="12"/>
    </row>
    <row r="29" spans="2:24" outlineLevel="1" x14ac:dyDescent="0.2">
      <c r="B29" s="14"/>
      <c r="C29" s="340"/>
      <c r="D29" s="14"/>
      <c r="E29" s="14"/>
      <c r="F29" s="14"/>
      <c r="G29" s="300"/>
      <c r="H29" s="10"/>
      <c r="I29" s="11"/>
      <c r="J29" s="11"/>
      <c r="K29" s="10"/>
      <c r="L29" s="16"/>
      <c r="M29" s="10"/>
      <c r="N29" s="10"/>
      <c r="O29" s="10"/>
      <c r="P29" s="10"/>
      <c r="Q29" s="304"/>
      <c r="R29" s="12"/>
      <c r="S29" s="12"/>
      <c r="T29" s="12"/>
      <c r="U29" s="12"/>
      <c r="V29" s="12"/>
      <c r="W29" s="12"/>
      <c r="X29" s="12"/>
    </row>
    <row r="30" spans="2:24" outlineLevel="1" x14ac:dyDescent="0.2">
      <c r="B30" s="14"/>
      <c r="C30" s="340"/>
      <c r="D30" s="14"/>
      <c r="E30" s="14"/>
      <c r="F30" s="14"/>
      <c r="G30" s="300"/>
      <c r="H30" s="10"/>
      <c r="I30" s="11"/>
      <c r="J30" s="11"/>
      <c r="K30" s="10"/>
      <c r="L30" s="16"/>
      <c r="M30" s="10"/>
      <c r="N30" s="10"/>
      <c r="O30" s="10"/>
      <c r="P30" s="10"/>
      <c r="Q30" s="304"/>
      <c r="R30" s="12"/>
      <c r="S30" s="12"/>
      <c r="T30" s="12"/>
      <c r="U30" s="12"/>
      <c r="V30" s="12"/>
      <c r="W30" s="12"/>
      <c r="X30" s="12"/>
    </row>
    <row r="31" spans="2:24" outlineLevel="1" x14ac:dyDescent="0.2">
      <c r="B31" s="14"/>
      <c r="C31" s="340"/>
      <c r="D31" s="14"/>
      <c r="E31" s="14"/>
      <c r="F31" s="14"/>
      <c r="G31" s="300"/>
      <c r="H31" s="10"/>
      <c r="I31" s="11"/>
      <c r="J31" s="11"/>
      <c r="K31" s="10"/>
      <c r="L31" s="16"/>
      <c r="M31" s="10"/>
      <c r="N31" s="10"/>
      <c r="O31" s="10"/>
      <c r="P31" s="10"/>
      <c r="Q31" s="304"/>
      <c r="R31" s="12"/>
      <c r="S31" s="12"/>
      <c r="T31" s="12"/>
      <c r="U31" s="12"/>
      <c r="V31" s="12"/>
      <c r="W31" s="12"/>
      <c r="X31" s="12"/>
    </row>
    <row r="32" spans="2:24" outlineLevel="1" x14ac:dyDescent="0.2">
      <c r="B32" s="14"/>
      <c r="C32" s="340"/>
      <c r="D32" s="14"/>
      <c r="E32" s="14"/>
      <c r="F32" s="14"/>
      <c r="G32" s="300"/>
      <c r="H32" s="10"/>
      <c r="I32" s="11"/>
      <c r="J32" s="11"/>
      <c r="K32" s="10"/>
      <c r="L32" s="16"/>
      <c r="M32" s="10"/>
      <c r="N32" s="10"/>
      <c r="O32" s="10"/>
      <c r="P32" s="10"/>
      <c r="Q32" s="304"/>
      <c r="R32" s="12"/>
      <c r="S32" s="12"/>
      <c r="T32" s="12"/>
      <c r="U32" s="12"/>
      <c r="V32" s="12"/>
      <c r="W32" s="12"/>
      <c r="X32" s="12"/>
    </row>
    <row r="33" spans="2:24" outlineLevel="1" x14ac:dyDescent="0.2">
      <c r="B33" s="14"/>
      <c r="C33" s="340"/>
      <c r="D33" s="14"/>
      <c r="E33" s="14"/>
      <c r="F33" s="14"/>
      <c r="G33" s="300"/>
      <c r="H33" s="10"/>
      <c r="I33" s="11"/>
      <c r="J33" s="11"/>
      <c r="K33" s="10"/>
      <c r="L33" s="16"/>
      <c r="M33" s="10"/>
      <c r="N33" s="10"/>
      <c r="O33" s="10"/>
      <c r="P33" s="10"/>
      <c r="Q33" s="304"/>
      <c r="R33" s="12"/>
      <c r="S33" s="12"/>
      <c r="T33" s="12"/>
      <c r="U33" s="12"/>
      <c r="V33" s="12"/>
      <c r="W33" s="12"/>
      <c r="X33" s="12"/>
    </row>
    <row r="34" spans="2:24" outlineLevel="1" x14ac:dyDescent="0.2">
      <c r="B34" s="14"/>
      <c r="C34" s="340"/>
      <c r="D34" s="14"/>
      <c r="E34" s="14"/>
      <c r="F34" s="14"/>
      <c r="G34" s="300"/>
      <c r="H34" s="10"/>
      <c r="I34" s="11"/>
      <c r="J34" s="11"/>
      <c r="K34" s="10"/>
      <c r="L34" s="16"/>
      <c r="M34" s="10"/>
      <c r="N34" s="10"/>
      <c r="O34" s="10"/>
      <c r="P34" s="10"/>
      <c r="Q34" s="304"/>
      <c r="R34" s="12"/>
      <c r="S34" s="12"/>
      <c r="T34" s="12"/>
      <c r="U34" s="12"/>
      <c r="V34" s="12"/>
      <c r="W34" s="12"/>
      <c r="X34" s="12"/>
    </row>
    <row r="35" spans="2:24" outlineLevel="1" x14ac:dyDescent="0.2">
      <c r="B35" s="14"/>
      <c r="C35" s="340"/>
      <c r="D35" s="14"/>
      <c r="E35" s="14"/>
      <c r="F35" s="14"/>
      <c r="G35" s="300"/>
      <c r="H35" s="10"/>
      <c r="I35" s="11"/>
      <c r="J35" s="11"/>
      <c r="K35" s="10"/>
      <c r="L35" s="16"/>
      <c r="M35" s="10"/>
      <c r="N35" s="10"/>
      <c r="O35" s="10"/>
      <c r="P35" s="10"/>
      <c r="Q35" s="304"/>
      <c r="R35" s="12"/>
      <c r="S35" s="12"/>
      <c r="T35" s="12"/>
      <c r="U35" s="12"/>
      <c r="V35" s="12"/>
      <c r="W35" s="12"/>
      <c r="X35" s="12"/>
    </row>
    <row r="36" spans="2:24" outlineLevel="1" x14ac:dyDescent="0.2">
      <c r="B36" s="14"/>
      <c r="C36" s="340"/>
      <c r="D36" s="14"/>
      <c r="E36" s="14"/>
      <c r="F36" s="14"/>
      <c r="G36" s="300"/>
      <c r="H36" s="10"/>
      <c r="I36" s="11"/>
      <c r="J36" s="11"/>
      <c r="K36" s="10"/>
      <c r="L36" s="16"/>
      <c r="M36" s="10"/>
      <c r="N36" s="10"/>
      <c r="O36" s="10"/>
      <c r="P36" s="10"/>
      <c r="Q36" s="304"/>
      <c r="R36" s="12"/>
      <c r="S36" s="12"/>
      <c r="T36" s="12"/>
      <c r="U36" s="12"/>
      <c r="V36" s="12"/>
      <c r="W36" s="12"/>
      <c r="X36" s="12"/>
    </row>
    <row r="37" spans="2:24" outlineLevel="1" x14ac:dyDescent="0.2">
      <c r="B37" s="14"/>
      <c r="C37" s="340"/>
      <c r="D37" s="14"/>
      <c r="E37" s="14"/>
      <c r="F37" s="14"/>
      <c r="G37" s="300"/>
      <c r="H37" s="10"/>
      <c r="I37" s="11"/>
      <c r="J37" s="11"/>
      <c r="K37" s="10"/>
      <c r="L37" s="16"/>
      <c r="M37" s="10"/>
      <c r="N37" s="10"/>
      <c r="O37" s="10"/>
      <c r="P37" s="10"/>
      <c r="Q37" s="304"/>
      <c r="R37" s="12"/>
      <c r="S37" s="12"/>
      <c r="T37" s="12"/>
      <c r="U37" s="12"/>
      <c r="V37" s="12"/>
      <c r="W37" s="12"/>
      <c r="X37" s="12"/>
    </row>
    <row r="38" spans="2:24" outlineLevel="1" x14ac:dyDescent="0.2">
      <c r="B38" s="14"/>
      <c r="C38" s="340"/>
      <c r="D38" s="14"/>
      <c r="E38" s="14"/>
      <c r="F38" s="14"/>
      <c r="G38" s="300"/>
      <c r="H38" s="10"/>
      <c r="I38" s="11"/>
      <c r="J38" s="11"/>
      <c r="K38" s="10"/>
      <c r="L38" s="16"/>
      <c r="M38" s="10"/>
      <c r="N38" s="10"/>
      <c r="O38" s="10"/>
      <c r="P38" s="10"/>
      <c r="Q38" s="304"/>
      <c r="R38" s="12"/>
      <c r="S38" s="12"/>
      <c r="T38" s="12"/>
      <c r="U38" s="12"/>
      <c r="V38" s="12"/>
      <c r="W38" s="12"/>
      <c r="X38" s="12"/>
    </row>
    <row r="39" spans="2:24" outlineLevel="1" x14ac:dyDescent="0.2">
      <c r="B39" s="14"/>
      <c r="C39" s="340"/>
      <c r="D39" s="14"/>
      <c r="E39" s="14"/>
      <c r="F39" s="14"/>
      <c r="G39" s="300"/>
      <c r="H39" s="10"/>
      <c r="I39" s="11"/>
      <c r="J39" s="11"/>
      <c r="K39" s="10"/>
      <c r="L39" s="16"/>
      <c r="M39" s="10"/>
      <c r="N39" s="10"/>
      <c r="O39" s="10"/>
      <c r="P39" s="10"/>
      <c r="Q39" s="304"/>
      <c r="R39" s="12"/>
      <c r="S39" s="12"/>
      <c r="T39" s="12"/>
      <c r="U39" s="12"/>
      <c r="V39" s="12"/>
      <c r="W39" s="12"/>
      <c r="X39" s="12"/>
    </row>
    <row r="40" spans="2:24" outlineLevel="1" x14ac:dyDescent="0.2">
      <c r="B40" s="14"/>
      <c r="C40" s="340"/>
      <c r="D40" s="14"/>
      <c r="E40" s="14"/>
      <c r="F40" s="14"/>
      <c r="G40" s="300"/>
      <c r="H40" s="10"/>
      <c r="I40" s="11"/>
      <c r="J40" s="11"/>
      <c r="K40" s="10"/>
      <c r="L40" s="16"/>
      <c r="M40" s="10"/>
      <c r="N40" s="10"/>
      <c r="O40" s="10"/>
      <c r="P40" s="10"/>
      <c r="Q40" s="304"/>
      <c r="R40" s="12"/>
      <c r="S40" s="12"/>
      <c r="T40" s="12"/>
      <c r="U40" s="12"/>
      <c r="V40" s="12"/>
      <c r="W40" s="12"/>
      <c r="X40" s="12"/>
    </row>
    <row r="41" spans="2:24" outlineLevel="1" x14ac:dyDescent="0.2">
      <c r="B41" s="14"/>
      <c r="C41" s="340"/>
      <c r="D41" s="14"/>
      <c r="E41" s="14"/>
      <c r="F41" s="14"/>
      <c r="G41" s="300"/>
      <c r="H41" s="10"/>
      <c r="I41" s="11"/>
      <c r="J41" s="11"/>
      <c r="K41" s="10"/>
      <c r="L41" s="16"/>
      <c r="M41" s="10"/>
      <c r="N41" s="10"/>
      <c r="O41" s="10"/>
      <c r="P41" s="10"/>
      <c r="Q41" s="304"/>
      <c r="R41" s="12"/>
      <c r="S41" s="12"/>
      <c r="T41" s="12"/>
      <c r="U41" s="12"/>
      <c r="V41" s="12"/>
      <c r="W41" s="12"/>
      <c r="X41" s="12"/>
    </row>
    <row r="42" spans="2:24" outlineLevel="1" x14ac:dyDescent="0.2">
      <c r="B42" s="14"/>
      <c r="C42" s="340"/>
      <c r="D42" s="14"/>
      <c r="E42" s="14"/>
      <c r="F42" s="14"/>
      <c r="G42" s="300"/>
      <c r="H42" s="10"/>
      <c r="I42" s="11"/>
      <c r="J42" s="11"/>
      <c r="K42" s="10"/>
      <c r="L42" s="16"/>
      <c r="M42" s="10"/>
      <c r="N42" s="10"/>
      <c r="O42" s="10"/>
      <c r="P42" s="10"/>
      <c r="Q42" s="304"/>
      <c r="R42" s="12"/>
      <c r="S42" s="12"/>
      <c r="T42" s="12"/>
      <c r="U42" s="12"/>
      <c r="V42" s="12"/>
      <c r="W42" s="12"/>
      <c r="X42" s="12"/>
    </row>
    <row r="43" spans="2:24" outlineLevel="1" x14ac:dyDescent="0.2">
      <c r="B43" s="14"/>
      <c r="C43" s="340"/>
      <c r="D43" s="14"/>
      <c r="E43" s="14"/>
      <c r="F43" s="14"/>
      <c r="G43" s="300"/>
      <c r="H43" s="10"/>
      <c r="I43" s="11"/>
      <c r="J43" s="11"/>
      <c r="K43" s="10"/>
      <c r="L43" s="16"/>
      <c r="M43" s="10"/>
      <c r="N43" s="10"/>
      <c r="O43" s="10"/>
      <c r="P43" s="10"/>
      <c r="Q43" s="304"/>
      <c r="R43" s="12"/>
      <c r="S43" s="12"/>
      <c r="T43" s="12"/>
      <c r="U43" s="12"/>
      <c r="V43" s="12"/>
      <c r="W43" s="12"/>
      <c r="X43" s="12"/>
    </row>
    <row r="44" spans="2:24" outlineLevel="1" x14ac:dyDescent="0.2">
      <c r="B44" s="14"/>
      <c r="C44" s="340"/>
      <c r="D44" s="14"/>
      <c r="E44" s="14"/>
      <c r="F44" s="14"/>
      <c r="G44" s="300"/>
      <c r="H44" s="10"/>
      <c r="I44" s="11"/>
      <c r="J44" s="11"/>
      <c r="K44" s="10"/>
      <c r="L44" s="16"/>
      <c r="M44" s="10"/>
      <c r="N44" s="10"/>
      <c r="O44" s="10"/>
      <c r="P44" s="10"/>
      <c r="Q44" s="304"/>
      <c r="R44" s="12"/>
      <c r="S44" s="12"/>
      <c r="T44" s="12"/>
      <c r="U44" s="12"/>
      <c r="V44" s="12"/>
      <c r="W44" s="12"/>
      <c r="X44" s="12"/>
    </row>
    <row r="45" spans="2:24" outlineLevel="1" x14ac:dyDescent="0.2">
      <c r="B45" s="14"/>
      <c r="C45" s="340"/>
      <c r="D45" s="14"/>
      <c r="E45" s="14"/>
      <c r="F45" s="14"/>
      <c r="G45" s="300"/>
      <c r="H45" s="10"/>
      <c r="I45" s="11"/>
      <c r="J45" s="11"/>
      <c r="K45" s="10"/>
      <c r="L45" s="16"/>
      <c r="M45" s="10"/>
      <c r="N45" s="10"/>
      <c r="O45" s="10"/>
      <c r="P45" s="10"/>
      <c r="Q45" s="304"/>
      <c r="R45" s="12"/>
      <c r="S45" s="12"/>
      <c r="T45" s="12"/>
      <c r="U45" s="12"/>
      <c r="V45" s="12"/>
      <c r="W45" s="12"/>
      <c r="X45" s="12"/>
    </row>
    <row r="46" spans="2:24" outlineLevel="1" x14ac:dyDescent="0.2">
      <c r="B46" s="14"/>
      <c r="C46" s="340"/>
      <c r="D46" s="14"/>
      <c r="E46" s="14"/>
      <c r="F46" s="14"/>
      <c r="G46" s="300"/>
      <c r="H46" s="10"/>
      <c r="I46" s="11"/>
      <c r="J46" s="11"/>
      <c r="K46" s="10"/>
      <c r="L46" s="16"/>
      <c r="M46" s="10"/>
      <c r="N46" s="10"/>
      <c r="O46" s="10"/>
      <c r="P46" s="10"/>
      <c r="Q46" s="304"/>
      <c r="R46" s="12"/>
      <c r="S46" s="12"/>
      <c r="T46" s="12"/>
      <c r="U46" s="12"/>
      <c r="V46" s="12"/>
      <c r="W46" s="12"/>
      <c r="X46" s="12"/>
    </row>
    <row r="47" spans="2:24" outlineLevel="1" x14ac:dyDescent="0.2">
      <c r="B47" s="14"/>
      <c r="C47" s="340"/>
      <c r="D47" s="14"/>
      <c r="E47" s="14"/>
      <c r="F47" s="14"/>
      <c r="G47" s="300"/>
      <c r="H47" s="10"/>
      <c r="I47" s="11"/>
      <c r="J47" s="11"/>
      <c r="K47" s="10"/>
      <c r="L47" s="16"/>
      <c r="M47" s="10"/>
      <c r="N47" s="10"/>
      <c r="O47" s="10"/>
      <c r="P47" s="10"/>
      <c r="Q47" s="304"/>
      <c r="R47" s="12"/>
      <c r="S47" s="12"/>
      <c r="T47" s="12"/>
      <c r="U47" s="12"/>
      <c r="V47" s="12"/>
      <c r="W47" s="12"/>
      <c r="X47" s="12"/>
    </row>
    <row r="48" spans="2:24" outlineLevel="1" x14ac:dyDescent="0.2">
      <c r="B48" s="14"/>
      <c r="C48" s="340"/>
      <c r="D48" s="14"/>
      <c r="E48" s="14"/>
      <c r="F48" s="14"/>
      <c r="G48" s="300"/>
      <c r="H48" s="10"/>
      <c r="I48" s="11"/>
      <c r="J48" s="11"/>
      <c r="K48" s="10"/>
      <c r="L48" s="16"/>
      <c r="M48" s="10"/>
      <c r="N48" s="10"/>
      <c r="O48" s="10"/>
      <c r="P48" s="10"/>
      <c r="Q48" s="304"/>
      <c r="R48" s="12"/>
      <c r="S48" s="12"/>
      <c r="T48" s="12"/>
      <c r="U48" s="12"/>
      <c r="V48" s="12"/>
      <c r="W48" s="12"/>
      <c r="X48" s="12"/>
    </row>
    <row r="49" spans="2:24" outlineLevel="1" x14ac:dyDescent="0.2">
      <c r="B49" s="14"/>
      <c r="C49" s="340"/>
      <c r="D49" s="14"/>
      <c r="E49" s="14"/>
      <c r="F49" s="14"/>
      <c r="G49" s="300"/>
      <c r="H49" s="10"/>
      <c r="I49" s="11"/>
      <c r="J49" s="11"/>
      <c r="K49" s="10"/>
      <c r="L49" s="16"/>
      <c r="M49" s="10"/>
      <c r="N49" s="10"/>
      <c r="O49" s="10"/>
      <c r="P49" s="10"/>
      <c r="Q49" s="304"/>
      <c r="R49" s="12"/>
      <c r="S49" s="12"/>
      <c r="T49" s="12"/>
      <c r="U49" s="12"/>
      <c r="V49" s="12"/>
      <c r="W49" s="12"/>
      <c r="X49" s="12"/>
    </row>
    <row r="50" spans="2:24" outlineLevel="1" x14ac:dyDescent="0.2">
      <c r="B50" s="14"/>
      <c r="C50" s="340"/>
      <c r="D50" s="14"/>
      <c r="E50" s="14"/>
      <c r="F50" s="14"/>
      <c r="G50" s="300"/>
      <c r="H50" s="10"/>
      <c r="I50" s="11"/>
      <c r="J50" s="11"/>
      <c r="K50" s="10"/>
      <c r="L50" s="16"/>
      <c r="M50" s="10"/>
      <c r="N50" s="10"/>
      <c r="O50" s="10"/>
      <c r="P50" s="10"/>
      <c r="Q50" s="304"/>
      <c r="R50" s="12"/>
      <c r="S50" s="12"/>
      <c r="T50" s="12"/>
      <c r="U50" s="12"/>
      <c r="V50" s="12"/>
      <c r="W50" s="12"/>
      <c r="X50" s="12"/>
    </row>
    <row r="51" spans="2:24" outlineLevel="1" x14ac:dyDescent="0.2">
      <c r="B51" s="14"/>
      <c r="C51" s="340"/>
      <c r="D51" s="14"/>
      <c r="E51" s="14"/>
      <c r="F51" s="14"/>
      <c r="G51" s="300"/>
      <c r="H51" s="10"/>
      <c r="I51" s="11"/>
      <c r="J51" s="11"/>
      <c r="K51" s="10"/>
      <c r="L51" s="16"/>
      <c r="M51" s="10"/>
      <c r="N51" s="10"/>
      <c r="O51" s="10"/>
      <c r="P51" s="10"/>
      <c r="Q51" s="304"/>
      <c r="R51" s="12"/>
      <c r="S51" s="12"/>
      <c r="T51" s="12"/>
      <c r="U51" s="12"/>
      <c r="V51" s="12"/>
      <c r="W51" s="12"/>
      <c r="X51" s="12"/>
    </row>
    <row r="52" spans="2:24" outlineLevel="1" x14ac:dyDescent="0.2">
      <c r="B52" s="14"/>
      <c r="C52" s="340"/>
      <c r="D52" s="14"/>
      <c r="E52" s="14"/>
      <c r="F52" s="14"/>
      <c r="G52" s="300"/>
      <c r="H52" s="10"/>
      <c r="I52" s="11"/>
      <c r="J52" s="11"/>
      <c r="K52" s="10"/>
      <c r="L52" s="16"/>
      <c r="M52" s="10"/>
      <c r="N52" s="10"/>
      <c r="O52" s="10"/>
      <c r="P52" s="10"/>
      <c r="Q52" s="304"/>
      <c r="R52" s="12"/>
      <c r="S52" s="12"/>
      <c r="T52" s="12"/>
      <c r="U52" s="12"/>
      <c r="V52" s="12"/>
      <c r="W52" s="12"/>
      <c r="X52" s="12"/>
    </row>
    <row r="53" spans="2:24" outlineLevel="1" x14ac:dyDescent="0.2">
      <c r="B53" s="14"/>
      <c r="C53" s="340"/>
      <c r="D53" s="14"/>
      <c r="E53" s="14"/>
      <c r="F53" s="14"/>
      <c r="G53" s="300"/>
      <c r="H53" s="10"/>
      <c r="I53" s="11"/>
      <c r="J53" s="11"/>
      <c r="K53" s="10"/>
      <c r="L53" s="16"/>
      <c r="M53" s="10"/>
      <c r="N53" s="10"/>
      <c r="O53" s="10"/>
      <c r="P53" s="10"/>
      <c r="Q53" s="304"/>
      <c r="R53" s="12"/>
      <c r="S53" s="12"/>
      <c r="T53" s="12"/>
      <c r="U53" s="12"/>
      <c r="V53" s="12"/>
      <c r="W53" s="12"/>
      <c r="X53" s="12"/>
    </row>
    <row r="54" spans="2:24" outlineLevel="1" x14ac:dyDescent="0.2">
      <c r="B54" s="14"/>
      <c r="C54" s="340"/>
      <c r="D54" s="14"/>
      <c r="E54" s="14"/>
      <c r="F54" s="14"/>
      <c r="G54" s="300"/>
      <c r="H54" s="10"/>
      <c r="I54" s="11"/>
      <c r="J54" s="11"/>
      <c r="K54" s="10"/>
      <c r="L54" s="16"/>
      <c r="M54" s="10"/>
      <c r="N54" s="10"/>
      <c r="O54" s="10"/>
      <c r="P54" s="10"/>
      <c r="Q54" s="304"/>
      <c r="R54" s="12"/>
      <c r="S54" s="12"/>
      <c r="T54" s="12"/>
      <c r="U54" s="12"/>
      <c r="V54" s="12"/>
      <c r="W54" s="12"/>
      <c r="X54" s="12"/>
    </row>
    <row r="55" spans="2:24" outlineLevel="1" x14ac:dyDescent="0.2">
      <c r="B55" s="14"/>
      <c r="C55" s="340"/>
      <c r="D55" s="14"/>
      <c r="E55" s="14"/>
      <c r="F55" s="14"/>
      <c r="G55" s="300"/>
      <c r="H55" s="10"/>
      <c r="I55" s="11"/>
      <c r="J55" s="11"/>
      <c r="K55" s="10"/>
      <c r="L55" s="16"/>
      <c r="M55" s="10"/>
      <c r="N55" s="10"/>
      <c r="O55" s="10"/>
      <c r="P55" s="10"/>
      <c r="Q55" s="304"/>
      <c r="R55" s="12"/>
      <c r="S55" s="12"/>
      <c r="T55" s="12"/>
      <c r="U55" s="12"/>
      <c r="V55" s="12"/>
      <c r="W55" s="12"/>
      <c r="X55" s="12"/>
    </row>
    <row r="56" spans="2:24" outlineLevel="1" x14ac:dyDescent="0.2">
      <c r="B56" s="14"/>
      <c r="C56" s="340"/>
      <c r="D56" s="14"/>
      <c r="E56" s="14"/>
      <c r="F56" s="14"/>
      <c r="G56" s="300"/>
      <c r="H56" s="10"/>
      <c r="I56" s="11"/>
      <c r="J56" s="11"/>
      <c r="K56" s="10"/>
      <c r="L56" s="16"/>
      <c r="M56" s="10"/>
      <c r="N56" s="10"/>
      <c r="O56" s="10"/>
      <c r="P56" s="10"/>
      <c r="Q56" s="304"/>
      <c r="R56" s="12"/>
      <c r="S56" s="12"/>
      <c r="T56" s="12"/>
      <c r="U56" s="12"/>
      <c r="V56" s="12"/>
      <c r="W56" s="12"/>
      <c r="X56" s="12"/>
    </row>
    <row r="57" spans="2:24" outlineLevel="1" x14ac:dyDescent="0.2">
      <c r="B57" s="14"/>
      <c r="C57" s="340"/>
      <c r="D57" s="14"/>
      <c r="E57" s="14"/>
      <c r="F57" s="14"/>
      <c r="G57" s="300"/>
      <c r="H57" s="10"/>
      <c r="I57" s="11"/>
      <c r="J57" s="11"/>
      <c r="K57" s="10"/>
      <c r="L57" s="16"/>
      <c r="M57" s="10"/>
      <c r="N57" s="10"/>
      <c r="O57" s="10"/>
      <c r="P57" s="10"/>
      <c r="Q57" s="304"/>
      <c r="R57" s="12"/>
      <c r="S57" s="12"/>
      <c r="T57" s="12"/>
      <c r="U57" s="12"/>
      <c r="V57" s="12"/>
      <c r="W57" s="12"/>
      <c r="X57" s="12"/>
    </row>
    <row r="58" spans="2:24" outlineLevel="1" x14ac:dyDescent="0.2">
      <c r="B58" s="14"/>
      <c r="C58" s="340"/>
      <c r="D58" s="14"/>
      <c r="E58" s="14"/>
      <c r="F58" s="14"/>
      <c r="G58" s="300"/>
      <c r="H58" s="10"/>
      <c r="I58" s="11"/>
      <c r="J58" s="11"/>
      <c r="K58" s="10"/>
      <c r="L58" s="16"/>
      <c r="M58" s="10"/>
      <c r="N58" s="10"/>
      <c r="O58" s="10"/>
      <c r="P58" s="10"/>
      <c r="Q58" s="304"/>
      <c r="R58" s="12"/>
      <c r="S58" s="12"/>
      <c r="T58" s="12"/>
      <c r="U58" s="12"/>
      <c r="V58" s="12"/>
      <c r="W58" s="12"/>
      <c r="X58" s="12"/>
    </row>
    <row r="59" spans="2:24" outlineLevel="1" x14ac:dyDescent="0.2">
      <c r="B59" s="14"/>
      <c r="C59" s="340"/>
      <c r="D59" s="14"/>
      <c r="E59" s="14"/>
      <c r="F59" s="14"/>
      <c r="G59" s="300"/>
      <c r="H59" s="10"/>
      <c r="I59" s="11"/>
      <c r="J59" s="11"/>
      <c r="K59" s="10"/>
      <c r="L59" s="16"/>
      <c r="M59" s="10"/>
      <c r="N59" s="10"/>
      <c r="O59" s="10"/>
      <c r="P59" s="10"/>
      <c r="Q59" s="304"/>
      <c r="R59" s="12"/>
      <c r="S59" s="12"/>
      <c r="T59" s="12"/>
      <c r="U59" s="12"/>
      <c r="V59" s="12"/>
      <c r="W59" s="12"/>
      <c r="X59" s="12"/>
    </row>
    <row r="60" spans="2:24" outlineLevel="1" x14ac:dyDescent="0.2">
      <c r="B60" s="14"/>
      <c r="C60" s="340"/>
      <c r="D60" s="14"/>
      <c r="E60" s="14"/>
      <c r="F60" s="14"/>
      <c r="G60" s="300"/>
      <c r="H60" s="10"/>
      <c r="I60" s="11"/>
      <c r="J60" s="11"/>
      <c r="K60" s="10"/>
      <c r="L60" s="16"/>
      <c r="M60" s="10"/>
      <c r="N60" s="10"/>
      <c r="O60" s="10"/>
      <c r="P60" s="10"/>
      <c r="Q60" s="304"/>
      <c r="R60" s="12"/>
      <c r="S60" s="12"/>
      <c r="T60" s="12"/>
      <c r="U60" s="12"/>
      <c r="V60" s="12"/>
      <c r="W60" s="12"/>
      <c r="X60" s="12"/>
    </row>
    <row r="61" spans="2:24" outlineLevel="1" x14ac:dyDescent="0.2">
      <c r="B61" s="14"/>
      <c r="C61" s="340"/>
      <c r="D61" s="14"/>
      <c r="E61" s="14"/>
      <c r="F61" s="14"/>
      <c r="G61" s="300"/>
      <c r="H61" s="10"/>
      <c r="I61" s="11"/>
      <c r="J61" s="11"/>
      <c r="K61" s="10"/>
      <c r="L61" s="16"/>
      <c r="M61" s="10"/>
      <c r="N61" s="10"/>
      <c r="O61" s="10"/>
      <c r="P61" s="10"/>
      <c r="Q61" s="304"/>
      <c r="R61" s="12"/>
      <c r="S61" s="12"/>
      <c r="T61" s="12"/>
      <c r="U61" s="12"/>
      <c r="V61" s="12"/>
      <c r="W61" s="12"/>
      <c r="X61" s="12"/>
    </row>
    <row r="62" spans="2:24" outlineLevel="1" x14ac:dyDescent="0.2">
      <c r="B62" s="14"/>
      <c r="C62" s="340"/>
      <c r="D62" s="14"/>
      <c r="E62" s="14"/>
      <c r="F62" s="14"/>
      <c r="G62" s="300"/>
      <c r="H62" s="10"/>
      <c r="I62" s="11"/>
      <c r="J62" s="11"/>
      <c r="K62" s="10"/>
      <c r="L62" s="16"/>
      <c r="M62" s="10"/>
      <c r="N62" s="10"/>
      <c r="O62" s="10"/>
      <c r="P62" s="10"/>
      <c r="Q62" s="304"/>
      <c r="R62" s="12"/>
      <c r="S62" s="12"/>
      <c r="T62" s="12"/>
      <c r="U62" s="12"/>
      <c r="V62" s="12"/>
      <c r="W62" s="12"/>
      <c r="X62" s="12"/>
    </row>
    <row r="63" spans="2:24" outlineLevel="1" x14ac:dyDescent="0.2">
      <c r="B63" s="14"/>
      <c r="C63" s="340"/>
      <c r="D63" s="14"/>
      <c r="E63" s="14"/>
      <c r="F63" s="14"/>
      <c r="G63" s="300"/>
      <c r="H63" s="10"/>
      <c r="I63" s="11"/>
      <c r="J63" s="11"/>
      <c r="K63" s="10"/>
      <c r="L63" s="16"/>
      <c r="M63" s="10"/>
      <c r="N63" s="10"/>
      <c r="O63" s="10"/>
      <c r="P63" s="10"/>
      <c r="Q63" s="304"/>
      <c r="R63" s="12"/>
      <c r="S63" s="12"/>
      <c r="T63" s="12"/>
      <c r="U63" s="12"/>
      <c r="V63" s="12"/>
      <c r="W63" s="12"/>
      <c r="X63" s="12"/>
    </row>
    <row r="64" spans="2:24" outlineLevel="1" x14ac:dyDescent="0.2">
      <c r="B64" s="14"/>
      <c r="C64" s="340"/>
      <c r="D64" s="14"/>
      <c r="E64" s="14"/>
      <c r="F64" s="14"/>
      <c r="G64" s="300"/>
      <c r="H64" s="10"/>
      <c r="I64" s="11"/>
      <c r="J64" s="11"/>
      <c r="K64" s="10"/>
      <c r="L64" s="16"/>
      <c r="M64" s="10"/>
      <c r="N64" s="10"/>
      <c r="O64" s="10"/>
      <c r="P64" s="10"/>
      <c r="Q64" s="304"/>
      <c r="R64" s="12"/>
      <c r="S64" s="12"/>
      <c r="T64" s="12"/>
      <c r="U64" s="12"/>
      <c r="V64" s="12"/>
      <c r="W64" s="12"/>
      <c r="X64" s="12"/>
    </row>
    <row r="65" spans="2:24" outlineLevel="1" x14ac:dyDescent="0.2">
      <c r="B65" s="14"/>
      <c r="C65" s="340"/>
      <c r="D65" s="14"/>
      <c r="E65" s="14"/>
      <c r="F65" s="14"/>
      <c r="G65" s="300"/>
      <c r="H65" s="10"/>
      <c r="I65" s="11"/>
      <c r="J65" s="11"/>
      <c r="K65" s="10"/>
      <c r="L65" s="16"/>
      <c r="M65" s="10"/>
      <c r="N65" s="10"/>
      <c r="O65" s="10"/>
      <c r="P65" s="10"/>
      <c r="Q65" s="304"/>
      <c r="R65" s="12"/>
      <c r="S65" s="12"/>
      <c r="T65" s="12"/>
      <c r="U65" s="12"/>
      <c r="V65" s="12"/>
      <c r="W65" s="12"/>
      <c r="X65" s="12"/>
    </row>
    <row r="66" spans="2:24" outlineLevel="1" x14ac:dyDescent="0.2">
      <c r="B66" s="14"/>
      <c r="C66" s="340"/>
      <c r="D66" s="14"/>
      <c r="E66" s="14"/>
      <c r="F66" s="14"/>
      <c r="G66" s="300"/>
      <c r="H66" s="10"/>
      <c r="I66" s="11"/>
      <c r="J66" s="11"/>
      <c r="K66" s="10"/>
      <c r="L66" s="16"/>
      <c r="M66" s="10"/>
      <c r="N66" s="10"/>
      <c r="O66" s="10"/>
      <c r="P66" s="10"/>
      <c r="Q66" s="304"/>
      <c r="R66" s="12"/>
      <c r="S66" s="12"/>
      <c r="T66" s="12"/>
      <c r="U66" s="12"/>
      <c r="V66" s="12"/>
      <c r="W66" s="12"/>
      <c r="X66" s="12"/>
    </row>
    <row r="67" spans="2:24" outlineLevel="1" x14ac:dyDescent="0.2">
      <c r="B67" s="14"/>
      <c r="C67" s="340"/>
      <c r="D67" s="14"/>
      <c r="E67" s="14"/>
      <c r="F67" s="14"/>
      <c r="G67" s="300"/>
      <c r="H67" s="10"/>
      <c r="I67" s="11"/>
      <c r="J67" s="11"/>
      <c r="K67" s="10"/>
      <c r="L67" s="16"/>
      <c r="M67" s="10"/>
      <c r="N67" s="10"/>
      <c r="O67" s="10"/>
      <c r="P67" s="10"/>
      <c r="Q67" s="304"/>
      <c r="R67" s="12"/>
      <c r="S67" s="12"/>
      <c r="T67" s="12"/>
      <c r="U67" s="12"/>
      <c r="V67" s="12"/>
      <c r="W67" s="12"/>
      <c r="X67" s="12"/>
    </row>
    <row r="68" spans="2:24" outlineLevel="1" x14ac:dyDescent="0.2">
      <c r="B68" s="14"/>
      <c r="C68" s="340"/>
      <c r="D68" s="14"/>
      <c r="E68" s="14"/>
      <c r="F68" s="14"/>
      <c r="G68" s="300"/>
      <c r="H68" s="10"/>
      <c r="I68" s="11"/>
      <c r="J68" s="11"/>
      <c r="K68" s="10"/>
      <c r="L68" s="16"/>
      <c r="M68" s="10"/>
      <c r="N68" s="10"/>
      <c r="O68" s="10"/>
      <c r="P68" s="10"/>
      <c r="Q68" s="304"/>
      <c r="R68" s="12"/>
      <c r="S68" s="12"/>
      <c r="T68" s="12"/>
      <c r="U68" s="12"/>
      <c r="V68" s="12"/>
      <c r="W68" s="12"/>
      <c r="X68" s="12"/>
    </row>
    <row r="69" spans="2:24" outlineLevel="1" x14ac:dyDescent="0.2">
      <c r="B69" s="14"/>
      <c r="C69" s="342"/>
      <c r="D69" s="15"/>
      <c r="E69" s="15"/>
      <c r="F69" s="14"/>
      <c r="G69" s="300"/>
      <c r="H69" s="10"/>
      <c r="I69" s="11"/>
      <c r="J69" s="11"/>
      <c r="K69" s="10"/>
      <c r="L69" s="16"/>
      <c r="M69" s="10"/>
      <c r="N69" s="10"/>
      <c r="O69" s="10"/>
      <c r="P69" s="10"/>
      <c r="Q69" s="304"/>
      <c r="R69" s="12"/>
      <c r="S69" s="12"/>
      <c r="T69" s="12"/>
      <c r="U69" s="12"/>
      <c r="V69" s="12"/>
      <c r="W69" s="12"/>
      <c r="X69" s="12"/>
    </row>
    <row r="70" spans="2:24" outlineLevel="1" x14ac:dyDescent="0.2">
      <c r="B70" s="14"/>
      <c r="C70" s="342"/>
      <c r="D70" s="15"/>
      <c r="E70" s="15"/>
      <c r="F70" s="14"/>
      <c r="G70" s="300"/>
      <c r="H70" s="10"/>
      <c r="I70" s="11"/>
      <c r="J70" s="11"/>
      <c r="K70" s="10"/>
      <c r="L70" s="16"/>
      <c r="M70" s="10"/>
      <c r="N70" s="10"/>
      <c r="O70" s="10"/>
      <c r="P70" s="10"/>
      <c r="Q70" s="304"/>
      <c r="R70" s="12"/>
      <c r="S70" s="12"/>
      <c r="T70" s="12"/>
      <c r="U70" s="12"/>
      <c r="V70" s="12"/>
      <c r="W70" s="12"/>
      <c r="X70" s="12"/>
    </row>
    <row r="71" spans="2:24" outlineLevel="1" x14ac:dyDescent="0.2">
      <c r="B71" s="14"/>
      <c r="C71" s="342"/>
      <c r="D71" s="15"/>
      <c r="E71" s="15"/>
      <c r="F71" s="14"/>
      <c r="G71" s="300"/>
      <c r="H71" s="10"/>
      <c r="I71" s="11"/>
      <c r="J71" s="11"/>
      <c r="K71" s="10"/>
      <c r="L71" s="16"/>
      <c r="M71" s="10"/>
      <c r="N71" s="10"/>
      <c r="O71" s="10"/>
      <c r="P71" s="10"/>
      <c r="Q71" s="304"/>
      <c r="R71" s="12"/>
      <c r="S71" s="12"/>
      <c r="T71" s="12"/>
      <c r="U71" s="12"/>
      <c r="V71" s="12"/>
      <c r="W71" s="12"/>
      <c r="X71" s="12"/>
    </row>
    <row r="72" spans="2:24" outlineLevel="1" x14ac:dyDescent="0.2">
      <c r="B72" s="14"/>
      <c r="C72" s="342"/>
      <c r="D72" s="15"/>
      <c r="E72" s="15"/>
      <c r="F72" s="14"/>
      <c r="G72" s="300"/>
      <c r="H72" s="10"/>
      <c r="I72" s="11"/>
      <c r="J72" s="11"/>
      <c r="K72" s="10"/>
      <c r="L72" s="16"/>
      <c r="M72" s="10"/>
      <c r="N72" s="10"/>
      <c r="O72" s="10"/>
      <c r="P72" s="10"/>
      <c r="Q72" s="304"/>
      <c r="R72" s="12"/>
      <c r="S72" s="12"/>
      <c r="T72" s="12"/>
      <c r="U72" s="12"/>
      <c r="V72" s="12"/>
      <c r="W72" s="12"/>
      <c r="X72" s="12"/>
    </row>
    <row r="73" spans="2:24" outlineLevel="1" x14ac:dyDescent="0.2">
      <c r="B73" s="14"/>
      <c r="C73" s="342"/>
      <c r="D73" s="15"/>
      <c r="E73" s="15"/>
      <c r="F73" s="14"/>
      <c r="G73" s="300"/>
      <c r="H73" s="10"/>
      <c r="I73" s="11"/>
      <c r="J73" s="11"/>
      <c r="K73" s="10"/>
      <c r="L73" s="16"/>
      <c r="M73" s="10"/>
      <c r="N73" s="10"/>
      <c r="O73" s="10"/>
      <c r="P73" s="10"/>
      <c r="Q73" s="304"/>
      <c r="R73" s="12"/>
      <c r="S73" s="12"/>
      <c r="T73" s="12"/>
      <c r="U73" s="12"/>
      <c r="V73" s="12"/>
      <c r="W73" s="12"/>
      <c r="X73" s="12"/>
    </row>
    <row r="74" spans="2:24" outlineLevel="1" x14ac:dyDescent="0.2">
      <c r="B74" s="14"/>
      <c r="C74" s="342"/>
      <c r="D74" s="15"/>
      <c r="E74" s="15"/>
      <c r="F74" s="14"/>
      <c r="G74" s="300"/>
      <c r="H74" s="10"/>
      <c r="I74" s="11"/>
      <c r="J74" s="11"/>
      <c r="K74" s="10"/>
      <c r="L74" s="16"/>
      <c r="M74" s="10"/>
      <c r="N74" s="10"/>
      <c r="O74" s="10"/>
      <c r="P74" s="10"/>
      <c r="Q74" s="304"/>
      <c r="R74" s="12"/>
      <c r="S74" s="12"/>
      <c r="T74" s="12"/>
      <c r="U74" s="12"/>
      <c r="V74" s="12"/>
      <c r="W74" s="12"/>
      <c r="X74" s="12"/>
    </row>
    <row r="75" spans="2:24" outlineLevel="1" x14ac:dyDescent="0.2">
      <c r="B75" s="14"/>
      <c r="C75" s="342"/>
      <c r="D75" s="15"/>
      <c r="E75" s="15"/>
      <c r="F75" s="14"/>
      <c r="G75" s="300"/>
      <c r="H75" s="10"/>
      <c r="I75" s="11"/>
      <c r="J75" s="11"/>
      <c r="K75" s="10"/>
      <c r="L75" s="16"/>
      <c r="M75" s="10"/>
      <c r="N75" s="10"/>
      <c r="O75" s="10"/>
      <c r="P75" s="10"/>
      <c r="Q75" s="304"/>
      <c r="R75" s="12"/>
      <c r="S75" s="12"/>
      <c r="T75" s="12"/>
      <c r="U75" s="12"/>
      <c r="V75" s="12"/>
      <c r="W75" s="12"/>
      <c r="X75" s="12"/>
    </row>
    <row r="76" spans="2:24" outlineLevel="1" x14ac:dyDescent="0.2">
      <c r="B76" s="14"/>
      <c r="C76" s="342"/>
      <c r="D76" s="15"/>
      <c r="E76" s="15"/>
      <c r="F76" s="14"/>
      <c r="G76" s="300"/>
      <c r="H76" s="10"/>
      <c r="I76" s="11"/>
      <c r="J76" s="11"/>
      <c r="K76" s="10"/>
      <c r="L76" s="16"/>
      <c r="M76" s="10"/>
      <c r="N76" s="10"/>
      <c r="O76" s="10"/>
      <c r="P76" s="10"/>
      <c r="Q76" s="304"/>
      <c r="R76" s="12"/>
      <c r="S76" s="12"/>
      <c r="T76" s="12"/>
      <c r="U76" s="12"/>
      <c r="V76" s="12"/>
      <c r="W76" s="12"/>
      <c r="X76" s="12"/>
    </row>
    <row r="77" spans="2:24" outlineLevel="1" x14ac:dyDescent="0.2">
      <c r="B77" s="14"/>
      <c r="C77" s="342"/>
      <c r="D77" s="15"/>
      <c r="E77" s="15"/>
      <c r="F77" s="14"/>
      <c r="G77" s="300"/>
      <c r="H77" s="10"/>
      <c r="I77" s="11"/>
      <c r="J77" s="11"/>
      <c r="K77" s="10"/>
      <c r="L77" s="16"/>
      <c r="M77" s="10"/>
      <c r="N77" s="10"/>
      <c r="O77" s="10"/>
      <c r="P77" s="10"/>
      <c r="Q77" s="304"/>
      <c r="R77" s="12"/>
      <c r="S77" s="12"/>
      <c r="T77" s="12"/>
      <c r="U77" s="12"/>
      <c r="V77" s="12"/>
      <c r="W77" s="12"/>
      <c r="X77" s="12"/>
    </row>
    <row r="78" spans="2:24" outlineLevel="1" x14ac:dyDescent="0.2">
      <c r="B78" s="14"/>
      <c r="C78" s="342"/>
      <c r="D78" s="15"/>
      <c r="E78" s="15"/>
      <c r="F78" s="14"/>
      <c r="G78" s="300"/>
      <c r="H78" s="10"/>
      <c r="I78" s="11"/>
      <c r="J78" s="11"/>
      <c r="K78" s="10"/>
      <c r="L78" s="16"/>
      <c r="M78" s="10"/>
      <c r="N78" s="10"/>
      <c r="O78" s="10"/>
      <c r="P78" s="10"/>
      <c r="Q78" s="304"/>
      <c r="R78" s="12"/>
      <c r="S78" s="12"/>
      <c r="T78" s="12"/>
      <c r="U78" s="12"/>
      <c r="V78" s="12"/>
      <c r="W78" s="12"/>
      <c r="X78" s="12"/>
    </row>
    <row r="79" spans="2:24" outlineLevel="1" x14ac:dyDescent="0.2">
      <c r="B79" s="14"/>
      <c r="C79" s="342"/>
      <c r="D79" s="15"/>
      <c r="E79" s="15"/>
      <c r="F79" s="14"/>
      <c r="G79" s="300"/>
      <c r="H79" s="10"/>
      <c r="I79" s="11"/>
      <c r="J79" s="11"/>
      <c r="K79" s="10"/>
      <c r="L79" s="16"/>
      <c r="M79" s="10"/>
      <c r="N79" s="10"/>
      <c r="O79" s="10"/>
      <c r="P79" s="10"/>
      <c r="Q79" s="304"/>
      <c r="R79" s="12"/>
      <c r="S79" s="12"/>
      <c r="T79" s="12"/>
      <c r="U79" s="12"/>
      <c r="V79" s="12"/>
      <c r="W79" s="12"/>
      <c r="X79" s="12"/>
    </row>
    <row r="80" spans="2:24" outlineLevel="1" x14ac:dyDescent="0.2">
      <c r="B80" s="14"/>
      <c r="C80" s="342"/>
      <c r="D80" s="15"/>
      <c r="E80" s="15"/>
      <c r="F80" s="14"/>
      <c r="G80" s="300"/>
      <c r="H80" s="10"/>
      <c r="I80" s="11"/>
      <c r="J80" s="11"/>
      <c r="K80" s="10"/>
      <c r="L80" s="16"/>
      <c r="M80" s="10"/>
      <c r="N80" s="10"/>
      <c r="O80" s="10"/>
      <c r="P80" s="10"/>
      <c r="Q80" s="304"/>
      <c r="R80" s="12"/>
      <c r="S80" s="12"/>
      <c r="T80" s="12"/>
      <c r="U80" s="12"/>
      <c r="V80" s="12"/>
      <c r="W80" s="12"/>
      <c r="X80" s="12"/>
    </row>
    <row r="81" spans="2:24" outlineLevel="1" x14ac:dyDescent="0.2">
      <c r="B81" s="14"/>
      <c r="C81" s="342"/>
      <c r="D81" s="15"/>
      <c r="E81" s="15"/>
      <c r="F81" s="14"/>
      <c r="G81" s="300"/>
      <c r="H81" s="10"/>
      <c r="I81" s="11"/>
      <c r="J81" s="11"/>
      <c r="K81" s="10"/>
      <c r="L81" s="16"/>
      <c r="M81" s="10"/>
      <c r="N81" s="10"/>
      <c r="O81" s="10"/>
      <c r="P81" s="10"/>
      <c r="Q81" s="304"/>
      <c r="R81" s="12"/>
      <c r="S81" s="12"/>
      <c r="T81" s="12"/>
      <c r="U81" s="12"/>
      <c r="V81" s="12"/>
      <c r="W81" s="12"/>
      <c r="X81" s="12"/>
    </row>
    <row r="82" spans="2:24" outlineLevel="1" x14ac:dyDescent="0.2">
      <c r="B82" s="14"/>
      <c r="C82" s="342"/>
      <c r="D82" s="15"/>
      <c r="E82" s="15"/>
      <c r="F82" s="14"/>
      <c r="G82" s="300"/>
      <c r="H82" s="10"/>
      <c r="I82" s="11"/>
      <c r="J82" s="11"/>
      <c r="K82" s="10"/>
      <c r="L82" s="16"/>
      <c r="M82" s="10"/>
      <c r="N82" s="10"/>
      <c r="O82" s="10"/>
      <c r="P82" s="10"/>
      <c r="Q82" s="304"/>
      <c r="R82" s="12"/>
      <c r="S82" s="12"/>
      <c r="T82" s="12"/>
      <c r="U82" s="12"/>
      <c r="V82" s="12"/>
      <c r="W82" s="12"/>
      <c r="X82" s="12"/>
    </row>
    <row r="83" spans="2:24" outlineLevel="1" x14ac:dyDescent="0.2">
      <c r="B83" s="14"/>
      <c r="C83" s="342"/>
      <c r="D83" s="15"/>
      <c r="E83" s="15"/>
      <c r="F83" s="14"/>
      <c r="G83" s="300"/>
      <c r="H83" s="10"/>
      <c r="I83" s="11"/>
      <c r="J83" s="11"/>
      <c r="K83" s="10"/>
      <c r="L83" s="16"/>
      <c r="M83" s="10"/>
      <c r="N83" s="10"/>
      <c r="O83" s="10"/>
      <c r="P83" s="10"/>
      <c r="Q83" s="304"/>
      <c r="R83" s="12"/>
      <c r="S83" s="12"/>
      <c r="T83" s="12"/>
      <c r="U83" s="12"/>
      <c r="V83" s="12"/>
      <c r="W83" s="12"/>
      <c r="X83" s="12"/>
    </row>
    <row r="84" spans="2:24" outlineLevel="1" x14ac:dyDescent="0.2">
      <c r="B84" s="14"/>
      <c r="C84" s="342"/>
      <c r="D84" s="15"/>
      <c r="E84" s="15"/>
      <c r="F84" s="14"/>
      <c r="G84" s="300"/>
      <c r="H84" s="10"/>
      <c r="I84" s="11"/>
      <c r="J84" s="11"/>
      <c r="K84" s="10"/>
      <c r="L84" s="16"/>
      <c r="M84" s="10"/>
      <c r="N84" s="10"/>
      <c r="O84" s="10"/>
      <c r="P84" s="10"/>
      <c r="Q84" s="304"/>
      <c r="R84" s="12"/>
      <c r="S84" s="12"/>
      <c r="T84" s="12"/>
      <c r="U84" s="12"/>
      <c r="V84" s="12"/>
      <c r="W84" s="12"/>
      <c r="X84" s="12"/>
    </row>
    <row r="85" spans="2:24" outlineLevel="1" x14ac:dyDescent="0.2">
      <c r="B85" s="14"/>
      <c r="C85" s="342"/>
      <c r="D85" s="15"/>
      <c r="E85" s="15"/>
      <c r="F85" s="14"/>
      <c r="G85" s="300"/>
      <c r="H85" s="10"/>
      <c r="I85" s="11"/>
      <c r="J85" s="11"/>
      <c r="K85" s="10"/>
      <c r="L85" s="16"/>
      <c r="M85" s="10"/>
      <c r="N85" s="10"/>
      <c r="O85" s="10"/>
      <c r="P85" s="10"/>
      <c r="Q85" s="304"/>
      <c r="R85" s="12"/>
      <c r="S85" s="12"/>
      <c r="T85" s="12"/>
      <c r="U85" s="12"/>
      <c r="V85" s="12"/>
      <c r="W85" s="12"/>
      <c r="X85" s="12"/>
    </row>
    <row r="86" spans="2:24" outlineLevel="1" x14ac:dyDescent="0.2">
      <c r="B86" s="14"/>
      <c r="C86" s="342"/>
      <c r="D86" s="15"/>
      <c r="E86" s="15"/>
      <c r="F86" s="14"/>
      <c r="G86" s="300"/>
      <c r="H86" s="10"/>
      <c r="I86" s="11"/>
      <c r="J86" s="11"/>
      <c r="K86" s="10"/>
      <c r="L86" s="16"/>
      <c r="M86" s="10"/>
      <c r="N86" s="10"/>
      <c r="O86" s="10"/>
      <c r="P86" s="10"/>
      <c r="Q86" s="304"/>
      <c r="R86" s="12"/>
      <c r="S86" s="12"/>
      <c r="T86" s="12"/>
      <c r="U86" s="12"/>
      <c r="V86" s="12"/>
      <c r="W86" s="12"/>
      <c r="X86" s="12"/>
    </row>
    <row r="87" spans="2:24" outlineLevel="1" x14ac:dyDescent="0.2">
      <c r="B87" s="14"/>
      <c r="C87" s="342"/>
      <c r="D87" s="15"/>
      <c r="E87" s="15"/>
      <c r="F87" s="14"/>
      <c r="G87" s="300"/>
      <c r="H87" s="10"/>
      <c r="I87" s="11"/>
      <c r="J87" s="11"/>
      <c r="K87" s="10"/>
      <c r="L87" s="16"/>
      <c r="M87" s="10"/>
      <c r="N87" s="10"/>
      <c r="O87" s="10"/>
      <c r="P87" s="10"/>
      <c r="Q87" s="304"/>
      <c r="R87" s="12"/>
      <c r="S87" s="12"/>
      <c r="T87" s="12"/>
      <c r="U87" s="12"/>
      <c r="V87" s="12"/>
      <c r="W87" s="12"/>
      <c r="X87" s="12"/>
    </row>
    <row r="88" spans="2:24" outlineLevel="1" x14ac:dyDescent="0.2">
      <c r="B88" s="14"/>
      <c r="C88" s="342"/>
      <c r="D88" s="15"/>
      <c r="E88" s="15"/>
      <c r="F88" s="14"/>
      <c r="G88" s="300"/>
      <c r="H88" s="10"/>
      <c r="I88" s="11"/>
      <c r="J88" s="11"/>
      <c r="K88" s="10"/>
      <c r="L88" s="16"/>
      <c r="M88" s="10"/>
      <c r="N88" s="10"/>
      <c r="O88" s="10"/>
      <c r="P88" s="10"/>
      <c r="Q88" s="304"/>
      <c r="R88" s="12"/>
      <c r="S88" s="12"/>
      <c r="T88" s="12"/>
      <c r="U88" s="12"/>
      <c r="V88" s="12"/>
      <c r="W88" s="12"/>
      <c r="X88" s="12"/>
    </row>
    <row r="89" spans="2:24" outlineLevel="1" x14ac:dyDescent="0.2">
      <c r="B89" s="14"/>
      <c r="C89" s="342"/>
      <c r="D89" s="15"/>
      <c r="E89" s="15"/>
      <c r="F89" s="14"/>
      <c r="G89" s="300"/>
      <c r="H89" s="10"/>
      <c r="I89" s="11"/>
      <c r="J89" s="11"/>
      <c r="K89" s="10"/>
      <c r="L89" s="16"/>
      <c r="M89" s="10"/>
      <c r="N89" s="10"/>
      <c r="O89" s="10"/>
      <c r="P89" s="10"/>
      <c r="Q89" s="304"/>
      <c r="R89" s="12"/>
      <c r="S89" s="12"/>
      <c r="T89" s="12"/>
      <c r="U89" s="12"/>
      <c r="V89" s="12"/>
      <c r="W89" s="12"/>
      <c r="X89" s="12"/>
    </row>
    <row r="90" spans="2:24" outlineLevel="1" x14ac:dyDescent="0.2">
      <c r="B90" s="14"/>
      <c r="C90" s="342"/>
      <c r="D90" s="15"/>
      <c r="E90" s="15"/>
      <c r="F90" s="14"/>
      <c r="G90" s="300"/>
      <c r="H90" s="10"/>
      <c r="I90" s="11"/>
      <c r="J90" s="11"/>
      <c r="K90" s="10"/>
      <c r="L90" s="16"/>
      <c r="M90" s="10"/>
      <c r="N90" s="10"/>
      <c r="O90" s="10"/>
      <c r="P90" s="10"/>
      <c r="Q90" s="304"/>
      <c r="R90" s="12"/>
      <c r="S90" s="12"/>
      <c r="T90" s="12"/>
      <c r="U90" s="12"/>
      <c r="V90" s="12"/>
      <c r="W90" s="12"/>
      <c r="X90" s="12"/>
    </row>
    <row r="91" spans="2:24" outlineLevel="1" x14ac:dyDescent="0.2">
      <c r="B91" s="14"/>
      <c r="C91" s="342"/>
      <c r="D91" s="15"/>
      <c r="E91" s="15"/>
      <c r="F91" s="14"/>
      <c r="G91" s="300"/>
      <c r="H91" s="10"/>
      <c r="I91" s="11"/>
      <c r="J91" s="11"/>
      <c r="K91" s="10"/>
      <c r="L91" s="16"/>
      <c r="M91" s="10"/>
      <c r="N91" s="10"/>
      <c r="O91" s="10"/>
      <c r="P91" s="10"/>
      <c r="Q91" s="304"/>
      <c r="R91" s="12"/>
      <c r="S91" s="12"/>
      <c r="T91" s="12"/>
      <c r="U91" s="12"/>
      <c r="V91" s="12"/>
      <c r="W91" s="12"/>
      <c r="X91" s="12"/>
    </row>
    <row r="92" spans="2:24" outlineLevel="1" x14ac:dyDescent="0.2">
      <c r="B92" s="14"/>
      <c r="C92" s="342"/>
      <c r="D92" s="15"/>
      <c r="E92" s="15"/>
      <c r="F92" s="14"/>
      <c r="G92" s="300"/>
      <c r="H92" s="10"/>
      <c r="I92" s="11"/>
      <c r="J92" s="11"/>
      <c r="K92" s="10"/>
      <c r="L92" s="16"/>
      <c r="M92" s="10"/>
      <c r="N92" s="10"/>
      <c r="O92" s="10"/>
      <c r="P92" s="10"/>
      <c r="Q92" s="304"/>
      <c r="R92" s="12"/>
      <c r="S92" s="12"/>
      <c r="T92" s="12"/>
      <c r="U92" s="12"/>
      <c r="V92" s="12"/>
      <c r="W92" s="12"/>
      <c r="X92" s="12"/>
    </row>
    <row r="93" spans="2:24" outlineLevel="1" x14ac:dyDescent="0.2">
      <c r="B93" s="14"/>
      <c r="C93" s="342"/>
      <c r="D93" s="15"/>
      <c r="E93" s="15"/>
      <c r="F93" s="14"/>
      <c r="G93" s="300"/>
      <c r="H93" s="10"/>
      <c r="I93" s="11"/>
      <c r="J93" s="11"/>
      <c r="K93" s="10"/>
      <c r="L93" s="16"/>
      <c r="M93" s="10"/>
      <c r="N93" s="10"/>
      <c r="O93" s="10"/>
      <c r="P93" s="10"/>
      <c r="Q93" s="304"/>
      <c r="R93" s="12"/>
      <c r="S93" s="12"/>
      <c r="T93" s="12"/>
      <c r="U93" s="12"/>
      <c r="V93" s="12"/>
      <c r="W93" s="12"/>
      <c r="X93" s="12"/>
    </row>
    <row r="94" spans="2:24" outlineLevel="1" x14ac:dyDescent="0.2">
      <c r="B94" s="14"/>
      <c r="C94" s="342"/>
      <c r="D94" s="15"/>
      <c r="E94" s="15"/>
      <c r="F94" s="14"/>
      <c r="G94" s="300"/>
      <c r="H94" s="10"/>
      <c r="I94" s="11"/>
      <c r="J94" s="11"/>
      <c r="K94" s="10"/>
      <c r="L94" s="16"/>
      <c r="M94" s="10"/>
      <c r="N94" s="10"/>
      <c r="O94" s="10"/>
      <c r="P94" s="10"/>
      <c r="Q94" s="304"/>
      <c r="R94" s="12"/>
      <c r="S94" s="12"/>
      <c r="T94" s="12"/>
      <c r="U94" s="12"/>
      <c r="V94" s="12"/>
      <c r="W94" s="12"/>
      <c r="X94" s="12"/>
    </row>
    <row r="95" spans="2:24" outlineLevel="1" x14ac:dyDescent="0.2">
      <c r="B95" s="14"/>
      <c r="C95" s="342"/>
      <c r="D95" s="15"/>
      <c r="E95" s="15"/>
      <c r="F95" s="14"/>
      <c r="G95" s="300"/>
      <c r="H95" s="10"/>
      <c r="I95" s="11"/>
      <c r="J95" s="11"/>
      <c r="K95" s="10"/>
      <c r="L95" s="16"/>
      <c r="M95" s="10"/>
      <c r="N95" s="10"/>
      <c r="O95" s="10"/>
      <c r="P95" s="10"/>
      <c r="Q95" s="304"/>
      <c r="R95" s="12"/>
      <c r="S95" s="12"/>
      <c r="T95" s="12"/>
      <c r="U95" s="12"/>
      <c r="V95" s="12"/>
      <c r="W95" s="12"/>
      <c r="X95" s="12"/>
    </row>
    <row r="96" spans="2:24" outlineLevel="1" x14ac:dyDescent="0.2">
      <c r="B96" s="14"/>
      <c r="C96" s="342"/>
      <c r="D96" s="15"/>
      <c r="E96" s="15"/>
      <c r="F96" s="14"/>
      <c r="G96" s="300"/>
      <c r="H96" s="10"/>
      <c r="I96" s="11"/>
      <c r="J96" s="11"/>
      <c r="K96" s="10"/>
      <c r="L96" s="16"/>
      <c r="M96" s="10"/>
      <c r="N96" s="10"/>
      <c r="O96" s="10"/>
      <c r="P96" s="10"/>
      <c r="Q96" s="304"/>
      <c r="R96" s="12"/>
      <c r="S96" s="12"/>
      <c r="T96" s="12"/>
      <c r="U96" s="12"/>
      <c r="V96" s="12"/>
      <c r="W96" s="12"/>
      <c r="X96" s="12"/>
    </row>
    <row r="97" spans="1:24" outlineLevel="1" x14ac:dyDescent="0.2">
      <c r="B97" s="14" t="str">
        <f>IF('Employee Input 17-18'!B97="","",'Employee Input 17-18'!B97)</f>
        <v/>
      </c>
      <c r="C97" s="342" t="str">
        <f>IF('Employee Input 17-18'!C97="","",'Employee Input 17-18'!C97)</f>
        <v/>
      </c>
      <c r="D97" s="15" t="str">
        <f>IF('Employee Input 17-18'!D97="","",'Employee Input 17-18'!D97)</f>
        <v/>
      </c>
      <c r="E97" s="15" t="str">
        <f>IF('Employee Input 17-18'!E97="","",'Employee Input 17-18'!E97)</f>
        <v/>
      </c>
      <c r="F97" s="14" t="str">
        <f>IF('Employee Input 17-18'!F97="","",'Employee Input 17-18'!F97)</f>
        <v/>
      </c>
      <c r="G97" s="300" t="str">
        <f>IF('Employee Input 17-18'!G97="","",'Employee Input 17-18'!G97)</f>
        <v/>
      </c>
      <c r="H97" s="10" t="str">
        <f t="shared" ref="H97" si="17">IF(F97="","",F97*G97)</f>
        <v/>
      </c>
      <c r="I97" s="11" t="str">
        <f>IF('Employee Input 17-18'!I97="","",'Employee Input 17-18'!I97)</f>
        <v/>
      </c>
      <c r="J97" s="11" t="str">
        <f>IF('Employee Input 17-18'!J97="","",'Employee Input 17-18'!J97)</f>
        <v/>
      </c>
      <c r="K97" s="10" t="str">
        <f>IF(SUM(H97:J97)&gt;0,SUM(H97:J97),"")</f>
        <v/>
      </c>
      <c r="L97" s="16" t="str">
        <f>IF('Employee Input 17-18'!L97="","",'Employee Input 17-18'!L97)</f>
        <v/>
      </c>
      <c r="M97" s="10"/>
      <c r="N97" s="10"/>
      <c r="O97" s="10"/>
      <c r="P97" s="10"/>
      <c r="Q97" s="304"/>
      <c r="R97" s="12"/>
      <c r="S97" s="12"/>
      <c r="T97" s="12"/>
      <c r="U97" s="12"/>
      <c r="V97" s="12"/>
      <c r="W97" s="12"/>
      <c r="X97" s="12"/>
    </row>
    <row r="98" spans="1:24" ht="17" thickBot="1" x14ac:dyDescent="0.25">
      <c r="A98" s="23"/>
      <c r="B98" s="39"/>
      <c r="C98" s="339"/>
      <c r="D98" s="25"/>
      <c r="E98" s="25"/>
      <c r="F98" s="39"/>
      <c r="G98" s="39"/>
      <c r="H98" s="39"/>
      <c r="I98" s="39"/>
      <c r="J98" s="39"/>
      <c r="K98" s="23"/>
      <c r="L98" s="39"/>
      <c r="M98" s="23"/>
      <c r="N98" s="23"/>
      <c r="O98" s="23"/>
      <c r="P98" s="23"/>
      <c r="Q98" s="39"/>
      <c r="R98" s="23"/>
      <c r="S98" s="23"/>
      <c r="T98" s="23"/>
      <c r="U98" s="23"/>
      <c r="V98" s="23"/>
      <c r="W98" s="23"/>
      <c r="X98" s="23"/>
    </row>
    <row r="99" spans="1:24" x14ac:dyDescent="0.2">
      <c r="B99" s="34" t="s">
        <v>741</v>
      </c>
      <c r="C99" s="343"/>
      <c r="D99" s="285"/>
      <c r="E99" s="284" t="str">
        <f>IF(SUM(E25,E61,E97)&gt;0,SUM(E25,E61,E97),"")</f>
        <v/>
      </c>
      <c r="F99" s="38">
        <f>SUM(F7:F98)</f>
        <v>19</v>
      </c>
      <c r="G99" s="38"/>
      <c r="H99" s="38">
        <f>SUM(H7:H98)</f>
        <v>436694.02339999989</v>
      </c>
      <c r="I99" s="38">
        <f>SUM(I7:I98)</f>
        <v>3000</v>
      </c>
      <c r="J99" s="38">
        <f>SUM(J7:J98)</f>
        <v>0</v>
      </c>
      <c r="K99" s="38">
        <f>SUM(K7:K98)</f>
        <v>439694.02339999989</v>
      </c>
      <c r="M99" s="38">
        <f t="shared" ref="M99:X99" si="18">SUM(M7:M98)</f>
        <v>46865.369498219996</v>
      </c>
      <c r="N99" s="38">
        <f t="shared" si="18"/>
        <v>0</v>
      </c>
      <c r="O99" s="38">
        <f t="shared" si="18"/>
        <v>7182.2930000000006</v>
      </c>
      <c r="P99" s="38">
        <f t="shared" si="18"/>
        <v>6375.5633392999998</v>
      </c>
      <c r="Q99" s="38">
        <f t="shared" si="18"/>
        <v>9500</v>
      </c>
      <c r="R99" s="38">
        <f t="shared" si="18"/>
        <v>81000</v>
      </c>
      <c r="S99" s="38">
        <f t="shared" si="18"/>
        <v>8793.8804680000012</v>
      </c>
      <c r="T99" s="38">
        <f t="shared" si="18"/>
        <v>5276.3282808000013</v>
      </c>
      <c r="U99" s="38">
        <f t="shared" si="18"/>
        <v>0</v>
      </c>
      <c r="V99" s="38">
        <f t="shared" si="18"/>
        <v>0</v>
      </c>
      <c r="W99" s="38">
        <f t="shared" si="18"/>
        <v>155493.43458632001</v>
      </c>
      <c r="X99" s="38">
        <f t="shared" si="18"/>
        <v>595187.45798632014</v>
      </c>
    </row>
    <row r="101" spans="1:24" x14ac:dyDescent="0.2">
      <c r="B101" s="34" t="s">
        <v>745</v>
      </c>
      <c r="F101" s="38">
        <f>SUMIF($B:$B,1100,F:F)</f>
        <v>5</v>
      </c>
      <c r="G101" s="38"/>
      <c r="H101" s="38">
        <f>SUMIF($B:$B,1100,H:H)</f>
        <v>251121.39540000004</v>
      </c>
      <c r="I101" s="38">
        <f>SUMIF($B:$B,1100,I:I)</f>
        <v>1500</v>
      </c>
      <c r="J101" s="38">
        <f>SUMIF($B:$B,1100,J:J)</f>
        <v>0</v>
      </c>
      <c r="K101" s="38">
        <f>SUMIF($B:$B,1100,K:K)</f>
        <v>252621.39540000004</v>
      </c>
      <c r="M101" s="38">
        <f t="shared" ref="M101:X101" si="19">SUMIF($B:$B,1100,M:M)</f>
        <v>36453.26735622</v>
      </c>
      <c r="N101" s="38">
        <f t="shared" si="19"/>
        <v>0</v>
      </c>
      <c r="O101" s="38">
        <f t="shared" si="19"/>
        <v>0</v>
      </c>
      <c r="P101" s="38">
        <f t="shared" si="19"/>
        <v>3663.0102333000004</v>
      </c>
      <c r="Q101" s="38">
        <f t="shared" si="19"/>
        <v>2500</v>
      </c>
      <c r="R101" s="38">
        <f t="shared" si="19"/>
        <v>62100</v>
      </c>
      <c r="S101" s="38">
        <f t="shared" si="19"/>
        <v>5052.4279079999997</v>
      </c>
      <c r="T101" s="38">
        <f t="shared" si="19"/>
        <v>3031.4567447999998</v>
      </c>
      <c r="U101" s="38">
        <f t="shared" si="19"/>
        <v>0</v>
      </c>
      <c r="V101" s="38">
        <f t="shared" si="19"/>
        <v>0</v>
      </c>
      <c r="W101" s="38">
        <f t="shared" si="19"/>
        <v>110300.16224232</v>
      </c>
      <c r="X101" s="38">
        <f t="shared" si="19"/>
        <v>362921.55764231994</v>
      </c>
    </row>
  </sheetData>
  <pageMargins left="0.25" right="0.25" top="0.25" bottom="0.25" header="0.3" footer="0.3"/>
  <pageSetup scale="75" fitToWidth="2"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pageSetUpPr fitToPage="1"/>
  </sheetPr>
  <dimension ref="A1:X173"/>
  <sheetViews>
    <sheetView workbookViewId="0">
      <pane xSplit="3" ySplit="6" topLeftCell="D7"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7.83203125" style="95" customWidth="1"/>
    <col min="19" max="19" width="10.33203125" style="1" bestFit="1" customWidth="1"/>
    <col min="20" max="24" width="11.5" style="1" customWidth="1"/>
    <col min="25"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20" ht="20" x14ac:dyDescent="0.2">
      <c r="A1" s="22" t="str">
        <f>'Student Info'!$A$1</f>
        <v>Three Rivers Charter School</v>
      </c>
      <c r="D1" s="181" t="s">
        <v>920</v>
      </c>
    </row>
    <row r="2" spans="1:20" ht="18" x14ac:dyDescent="0.2">
      <c r="A2" s="21" t="s">
        <v>804</v>
      </c>
      <c r="D2" s="181" t="s">
        <v>919</v>
      </c>
    </row>
    <row r="3" spans="1:20" ht="18" x14ac:dyDescent="0.2">
      <c r="A3" s="21" t="str">
        <f>'Cash Flow $s Yr4'!A3</f>
        <v>2018-19</v>
      </c>
    </row>
    <row r="5" spans="1:20" ht="18" x14ac:dyDescent="0.2">
      <c r="A5" s="29"/>
      <c r="B5" s="41"/>
      <c r="C5" s="29"/>
      <c r="D5" s="96"/>
      <c r="E5" s="96"/>
      <c r="F5" s="96"/>
      <c r="G5" s="96"/>
      <c r="H5" s="96"/>
      <c r="I5" s="96"/>
      <c r="J5" s="96"/>
      <c r="K5" s="96"/>
      <c r="L5" s="96"/>
      <c r="M5" s="96"/>
      <c r="N5" s="96"/>
      <c r="O5" s="96"/>
      <c r="P5" s="96"/>
      <c r="Q5" s="96"/>
      <c r="R5" s="96"/>
    </row>
    <row r="6" spans="1:20"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20" ht="18" x14ac:dyDescent="0.2">
      <c r="A7" s="47" t="s">
        <v>794</v>
      </c>
      <c r="B7" s="87"/>
      <c r="D7" s="31"/>
      <c r="F7" s="97"/>
      <c r="G7" s="97"/>
      <c r="H7" s="97"/>
      <c r="I7" s="31"/>
      <c r="J7" s="31"/>
      <c r="K7" s="97"/>
      <c r="L7" s="97"/>
      <c r="M7" s="97"/>
      <c r="N7" s="97"/>
      <c r="O7" s="97"/>
      <c r="P7" s="97"/>
      <c r="Q7" s="97"/>
      <c r="R7" s="97"/>
    </row>
    <row r="8" spans="1:20" ht="18" hidden="1" x14ac:dyDescent="0.2">
      <c r="A8" s="47"/>
      <c r="B8" s="87"/>
      <c r="C8" s="109" t="s">
        <v>817</v>
      </c>
      <c r="D8" s="110" t="s">
        <v>782</v>
      </c>
      <c r="F8" s="97"/>
      <c r="G8" s="97"/>
      <c r="H8" s="97"/>
      <c r="I8" s="31"/>
      <c r="J8" s="31"/>
      <c r="K8" s="97"/>
      <c r="L8" s="97"/>
      <c r="M8" s="97"/>
      <c r="N8" s="97"/>
      <c r="O8" s="97"/>
      <c r="P8" s="97"/>
      <c r="Q8" s="97"/>
      <c r="R8" s="97"/>
    </row>
    <row r="9" spans="1:20" ht="18" x14ac:dyDescent="0.2">
      <c r="A9" s="47"/>
      <c r="B9" s="87"/>
      <c r="C9" s="89" t="s">
        <v>818</v>
      </c>
      <c r="D9" s="115">
        <f>'Cash Flow %s Yr3'!D9</f>
        <v>0</v>
      </c>
      <c r="E9" s="115">
        <f>'Cash Flow %s Yr3'!E9</f>
        <v>0.05</v>
      </c>
      <c r="F9" s="115">
        <f>'Cash Flow %s Yr3'!F9</f>
        <v>0.05</v>
      </c>
      <c r="G9" s="115">
        <f>'Cash Flow %s Yr3'!G9</f>
        <v>0.09</v>
      </c>
      <c r="H9" s="115">
        <f>'Cash Flow %s Yr3'!H9</f>
        <v>0.09</v>
      </c>
      <c r="I9" s="115">
        <f>'Cash Flow %s Yr3'!I9</f>
        <v>0.09</v>
      </c>
      <c r="J9" s="115">
        <f>'Cash Flow %s Yr3'!J9</f>
        <v>0.09</v>
      </c>
      <c r="K9" s="115">
        <f>'Cash Flow %s Yr3'!K9</f>
        <v>0.09</v>
      </c>
      <c r="L9" s="221">
        <v>0.09</v>
      </c>
      <c r="M9" s="115">
        <f>'Cash Flow %s Yr3'!M9</f>
        <v>0.09</v>
      </c>
      <c r="N9" s="115">
        <f>'Cash Flow %s Yr3'!N9</f>
        <v>0.09</v>
      </c>
      <c r="O9" s="115">
        <f>'Cash Flow %s Yr3'!O9</f>
        <v>0.09</v>
      </c>
      <c r="P9" s="115">
        <f>'Cash Flow %s Yr3'!P9</f>
        <v>0.09</v>
      </c>
      <c r="Q9" s="221">
        <v>0</v>
      </c>
      <c r="R9" s="115">
        <f>'Cash Flow %s Yr3'!R9</f>
        <v>0</v>
      </c>
      <c r="S9" s="111">
        <f>SUM(D9:R9)</f>
        <v>0.99999999999999978</v>
      </c>
      <c r="T9" s="1" t="str">
        <f>'Cash Flow %s Yr3'!T9</f>
        <v>estimate based on January 2013 Governor's budget</v>
      </c>
    </row>
    <row r="10" spans="1:20" ht="18" hidden="1" x14ac:dyDescent="0.2">
      <c r="A10" s="47"/>
      <c r="B10" s="87"/>
      <c r="C10" s="89" t="s">
        <v>819</v>
      </c>
      <c r="D10" s="115">
        <f>'Cash Flow %s Yr3'!D10</f>
        <v>0</v>
      </c>
      <c r="E10" s="115">
        <f>'Cash Flow %s Yr3'!E10</f>
        <v>0</v>
      </c>
      <c r="F10" s="115">
        <f>'Cash Flow %s Yr3'!F10</f>
        <v>0</v>
      </c>
      <c r="G10" s="115">
        <f>'Cash Flow %s Yr3'!G10</f>
        <v>0.3478</v>
      </c>
      <c r="H10" s="115">
        <f>'Cash Flow %s Yr3'!H10</f>
        <v>0</v>
      </c>
      <c r="I10" s="115">
        <f>'Cash Flow %s Yr3'!I10</f>
        <v>0</v>
      </c>
      <c r="J10" s="115">
        <f>'Cash Flow %s Yr3'!J10</f>
        <v>0.16919999999999999</v>
      </c>
      <c r="K10" s="115">
        <f>'Cash Flow %s Yr3'!K10</f>
        <v>0</v>
      </c>
      <c r="L10" s="115">
        <f>'Cash Flow %s Yr3'!L10</f>
        <v>0.09</v>
      </c>
      <c r="M10" s="115">
        <f>'Cash Flow %s Yr3'!M10</f>
        <v>0.09</v>
      </c>
      <c r="N10" s="115">
        <f>'Cash Flow %s Yr3'!N10</f>
        <v>0.09</v>
      </c>
      <c r="O10" s="115">
        <f>'Cash Flow %s Yr3'!O10</f>
        <v>0.09</v>
      </c>
      <c r="P10" s="115">
        <f>'Cash Flow %s Yr3'!P10</f>
        <v>0.06</v>
      </c>
      <c r="Q10" s="115">
        <f>'Cash Flow %s Yr3'!Q10</f>
        <v>0.03</v>
      </c>
      <c r="R10" s="115">
        <f>'Cash Flow %s Yr3'!R10</f>
        <v>0</v>
      </c>
      <c r="S10" s="111">
        <f>SUM(D10:R10)</f>
        <v>0.96699999999999986</v>
      </c>
      <c r="T10" s="1">
        <f>'Cash Flow %s Yr3'!T10</f>
        <v>0</v>
      </c>
    </row>
    <row r="11" spans="1:20" s="31" customFormat="1" ht="18" x14ac:dyDescent="0.2">
      <c r="B11" s="70" t="s">
        <v>779</v>
      </c>
      <c r="C11" s="49"/>
      <c r="D11" s="222"/>
      <c r="E11" s="222"/>
      <c r="F11" s="222"/>
      <c r="G11" s="222"/>
      <c r="H11" s="222"/>
      <c r="I11" s="222"/>
      <c r="J11" s="222"/>
      <c r="K11" s="222"/>
      <c r="L11" s="222"/>
      <c r="M11" s="222"/>
      <c r="N11" s="222"/>
      <c r="O11" s="222"/>
      <c r="P11" s="222"/>
      <c r="Q11" s="222"/>
      <c r="R11" s="222"/>
      <c r="S11" s="111"/>
    </row>
    <row r="12" spans="1:20" s="31" customFormat="1" x14ac:dyDescent="0.2">
      <c r="A12" s="50"/>
      <c r="B12" s="65" t="str">
        <f>'Revenue Input'!B8</f>
        <v>8011</v>
      </c>
      <c r="C12" s="65" t="str">
        <f>'Revenue Input'!C8</f>
        <v>LCFF for all grades; state aid portion</v>
      </c>
      <c r="D12" s="115">
        <f>D$9</f>
        <v>0</v>
      </c>
      <c r="E12" s="115">
        <f t="shared" ref="E12:R12" si="0">E$9</f>
        <v>0.05</v>
      </c>
      <c r="F12" s="115">
        <f t="shared" si="0"/>
        <v>0.05</v>
      </c>
      <c r="G12" s="115">
        <f t="shared" si="0"/>
        <v>0.09</v>
      </c>
      <c r="H12" s="115">
        <f t="shared" si="0"/>
        <v>0.09</v>
      </c>
      <c r="I12" s="115">
        <f t="shared" si="0"/>
        <v>0.09</v>
      </c>
      <c r="J12" s="115">
        <f t="shared" si="0"/>
        <v>0.09</v>
      </c>
      <c r="K12" s="115">
        <f t="shared" si="0"/>
        <v>0.09</v>
      </c>
      <c r="L12" s="115">
        <f t="shared" si="0"/>
        <v>0.09</v>
      </c>
      <c r="M12" s="115">
        <f t="shared" si="0"/>
        <v>0.09</v>
      </c>
      <c r="N12" s="115">
        <f t="shared" si="0"/>
        <v>0.09</v>
      </c>
      <c r="O12" s="115">
        <f t="shared" si="0"/>
        <v>0.09</v>
      </c>
      <c r="P12" s="115">
        <f t="shared" si="0"/>
        <v>0.09</v>
      </c>
      <c r="Q12" s="115">
        <f t="shared" si="0"/>
        <v>0</v>
      </c>
      <c r="R12" s="115">
        <f t="shared" si="0"/>
        <v>0</v>
      </c>
      <c r="S12" s="111">
        <f t="shared" ref="S12:S22" si="1">SUM(D12:R12)</f>
        <v>0.99999999999999978</v>
      </c>
    </row>
    <row r="13" spans="1:20" s="31" customFormat="1" x14ac:dyDescent="0.2">
      <c r="A13" s="50"/>
      <c r="B13" s="65" t="str">
        <f>'Revenue Input'!B9</f>
        <v>8012</v>
      </c>
      <c r="C13" s="65" t="str">
        <f>'Revenue Input'!C9</f>
        <v>LCFF for all grades; EPA portion</v>
      </c>
      <c r="D13" s="220">
        <v>0</v>
      </c>
      <c r="E13" s="220">
        <v>0</v>
      </c>
      <c r="F13" s="220">
        <v>0</v>
      </c>
      <c r="G13" s="220">
        <v>0.25</v>
      </c>
      <c r="H13" s="220">
        <v>0</v>
      </c>
      <c r="I13" s="220">
        <v>0</v>
      </c>
      <c r="J13" s="220">
        <v>0.25</v>
      </c>
      <c r="K13" s="220">
        <v>0</v>
      </c>
      <c r="L13" s="220">
        <v>0</v>
      </c>
      <c r="M13" s="220">
        <v>0.25</v>
      </c>
      <c r="N13" s="220">
        <v>0</v>
      </c>
      <c r="O13" s="220">
        <v>0</v>
      </c>
      <c r="P13" s="220">
        <v>0.25</v>
      </c>
      <c r="Q13" s="220">
        <v>0</v>
      </c>
      <c r="R13" s="220">
        <v>0</v>
      </c>
      <c r="S13" s="111">
        <f t="shared" si="1"/>
        <v>1</v>
      </c>
    </row>
    <row r="14" spans="1:20" s="31" customFormat="1" x14ac:dyDescent="0.2">
      <c r="A14" s="50"/>
      <c r="B14" s="65" t="str">
        <f>'Revenue Input'!B10</f>
        <v>8096</v>
      </c>
      <c r="C14" s="65" t="str">
        <f>'Revenue Input'!C10</f>
        <v>In-Lieu of Property Taxes, all grades</v>
      </c>
      <c r="D14" s="220">
        <v>0</v>
      </c>
      <c r="E14" s="220">
        <f>'Cash Flow %s Yr3'!E14</f>
        <v>0.12</v>
      </c>
      <c r="F14" s="220">
        <f>'Cash Flow %s Yr3'!F14</f>
        <v>0.08</v>
      </c>
      <c r="G14" s="220">
        <f>'Cash Flow %s Yr3'!G14</f>
        <v>0.08</v>
      </c>
      <c r="H14" s="220">
        <f>'Cash Flow %s Yr3'!H14</f>
        <v>0.08</v>
      </c>
      <c r="I14" s="220">
        <f>'Cash Flow %s Yr3'!I14</f>
        <v>0.08</v>
      </c>
      <c r="J14" s="220">
        <f>'Cash Flow %s Yr3'!J14</f>
        <v>0.08</v>
      </c>
      <c r="K14" s="220">
        <f>'Cash Flow %s Yr3'!K14</f>
        <v>0.14000000000000001</v>
      </c>
      <c r="L14" s="220">
        <f>'Cash Flow %s Yr3'!L14</f>
        <v>7.0000000000000007E-2</v>
      </c>
      <c r="M14" s="220">
        <f>'Cash Flow %s Yr3'!M14</f>
        <v>7.0000000000000007E-2</v>
      </c>
      <c r="N14" s="220">
        <f>'Cash Flow %s Yr3'!N14</f>
        <v>7.0000000000000007E-2</v>
      </c>
      <c r="O14" s="220">
        <f>'Cash Flow %s Yr3'!O14</f>
        <v>7.0000000000000007E-2</v>
      </c>
      <c r="P14" s="220">
        <f>'Cash Flow %s Yr3'!P14</f>
        <v>0</v>
      </c>
      <c r="Q14" s="220">
        <v>0</v>
      </c>
      <c r="R14" s="220">
        <v>0</v>
      </c>
      <c r="S14" s="111">
        <f t="shared" si="1"/>
        <v>0.94000000000000017</v>
      </c>
    </row>
    <row r="15" spans="1:20" s="31" customFormat="1" x14ac:dyDescent="0.2">
      <c r="A15" s="50"/>
      <c r="B15" s="65" t="str">
        <f>'Revenue Input'!B11</f>
        <v>8599</v>
      </c>
      <c r="C15" s="65" t="str">
        <f>'Revenue Input'!C11</f>
        <v>Prior Year Income / Adjustments</v>
      </c>
      <c r="D15" s="115">
        <f>'Cash Flow %s Yr3'!D15</f>
        <v>0.66666666666666663</v>
      </c>
      <c r="E15" s="115">
        <f>'Cash Flow %s Yr3'!E15</f>
        <v>0.33333333333333331</v>
      </c>
      <c r="F15" s="115">
        <f>'Cash Flow %s Yr3'!F15</f>
        <v>0</v>
      </c>
      <c r="G15" s="115">
        <f>'Cash Flow %s Yr3'!G15</f>
        <v>0</v>
      </c>
      <c r="H15" s="115">
        <f>'Cash Flow %s Yr3'!H15</f>
        <v>0</v>
      </c>
      <c r="I15" s="115">
        <f>'Cash Flow %s Yr3'!I15</f>
        <v>0</v>
      </c>
      <c r="J15" s="115">
        <f>'Cash Flow %s Yr3'!J15</f>
        <v>0</v>
      </c>
      <c r="K15" s="115">
        <f>'Cash Flow %s Yr3'!K15</f>
        <v>0</v>
      </c>
      <c r="L15" s="115">
        <f>'Cash Flow %s Yr3'!L15</f>
        <v>0</v>
      </c>
      <c r="M15" s="115">
        <f>'Cash Flow %s Yr3'!M15</f>
        <v>0</v>
      </c>
      <c r="N15" s="115">
        <f>'Cash Flow %s Yr3'!N15</f>
        <v>0</v>
      </c>
      <c r="O15" s="115">
        <f>'Cash Flow %s Yr3'!O15</f>
        <v>0</v>
      </c>
      <c r="P15" s="115">
        <f>'Cash Flow %s Yr3'!P15</f>
        <v>0</v>
      </c>
      <c r="Q15" s="115">
        <f>'Cash Flow %s Yr3'!Q15</f>
        <v>0</v>
      </c>
      <c r="R15" s="115">
        <f>'Cash Flow %s Yr3'!R15</f>
        <v>0</v>
      </c>
      <c r="S15" s="111">
        <f t="shared" si="1"/>
        <v>1</v>
      </c>
    </row>
    <row r="16" spans="1:20" s="31" customFormat="1" x14ac:dyDescent="0.2">
      <c r="A16" s="50"/>
      <c r="B16" s="65" t="str">
        <f>'Revenue Input'!B12</f>
        <v>8181</v>
      </c>
      <c r="C16" s="65" t="str">
        <f>'Revenue Input'!C12</f>
        <v>Special Education</v>
      </c>
      <c r="D16" s="115">
        <f>'Cash Flow %s Yr3'!D16</f>
        <v>0</v>
      </c>
      <c r="E16" s="115">
        <f>'Cash Flow %s Yr3'!E16</f>
        <v>0.05</v>
      </c>
      <c r="F16" s="115">
        <f>'Cash Flow %s Yr3'!F16</f>
        <v>0.05</v>
      </c>
      <c r="G16" s="115">
        <f>'Cash Flow %s Yr3'!G16</f>
        <v>0.09</v>
      </c>
      <c r="H16" s="115">
        <f>'Cash Flow %s Yr3'!H16</f>
        <v>0.09</v>
      </c>
      <c r="I16" s="115">
        <f>'Cash Flow %s Yr3'!I16</f>
        <v>0.09</v>
      </c>
      <c r="J16" s="115">
        <f>'Cash Flow %s Yr3'!J16</f>
        <v>0.09</v>
      </c>
      <c r="K16" s="115">
        <f>'Cash Flow %s Yr3'!K16</f>
        <v>0.09</v>
      </c>
      <c r="L16" s="115">
        <f>'Cash Flow %s Yr3'!L16</f>
        <v>0.09</v>
      </c>
      <c r="M16" s="115">
        <f>'Cash Flow %s Yr3'!M16</f>
        <v>0.09</v>
      </c>
      <c r="N16" s="115">
        <f>'Cash Flow %s Yr3'!N16</f>
        <v>0.09</v>
      </c>
      <c r="O16" s="115">
        <f>'Cash Flow %s Yr3'!O16</f>
        <v>0.09</v>
      </c>
      <c r="P16" s="115">
        <f>'Cash Flow %s Yr3'!P16</f>
        <v>0.06</v>
      </c>
      <c r="Q16" s="115">
        <f>'Cash Flow %s Yr3'!Q16</f>
        <v>0.03</v>
      </c>
      <c r="R16" s="115">
        <f>'Cash Flow %s Yr3'!R16</f>
        <v>0</v>
      </c>
      <c r="S16" s="111">
        <f t="shared" si="1"/>
        <v>0.99999999999999978</v>
      </c>
    </row>
    <row r="17" spans="1:20" s="31" customFormat="1" x14ac:dyDescent="0.2">
      <c r="A17" s="50"/>
      <c r="B17" s="65" t="str">
        <f>'Revenue Input'!B13</f>
        <v>8560</v>
      </c>
      <c r="C17" s="65" t="str">
        <f>'Revenue Input'!C13</f>
        <v>Lottery</v>
      </c>
      <c r="D17" s="115">
        <f>'Cash Flow %s Yr3'!D17</f>
        <v>0</v>
      </c>
      <c r="E17" s="115">
        <f>'Cash Flow %s Yr3'!E17</f>
        <v>0</v>
      </c>
      <c r="F17" s="115">
        <f>'Cash Flow %s Yr3'!F17</f>
        <v>0</v>
      </c>
      <c r="G17" s="115">
        <f>'Cash Flow %s Yr3'!G17</f>
        <v>0</v>
      </c>
      <c r="H17" s="115">
        <f>'Cash Flow %s Yr3'!H17</f>
        <v>0</v>
      </c>
      <c r="I17" s="115">
        <f>'Cash Flow %s Yr3'!I17</f>
        <v>0.25</v>
      </c>
      <c r="J17" s="115">
        <f>'Cash Flow %s Yr3'!J17</f>
        <v>0</v>
      </c>
      <c r="K17" s="115">
        <f>'Cash Flow %s Yr3'!K17</f>
        <v>0.25</v>
      </c>
      <c r="L17" s="115">
        <f>'Cash Flow %s Yr3'!L17</f>
        <v>0</v>
      </c>
      <c r="M17" s="115">
        <f>'Cash Flow %s Yr3'!M17</f>
        <v>0.25</v>
      </c>
      <c r="N17" s="115">
        <f>'Cash Flow %s Yr3'!N17</f>
        <v>0</v>
      </c>
      <c r="O17" s="115">
        <f>'Cash Flow %s Yr3'!O17</f>
        <v>0</v>
      </c>
      <c r="P17" s="115">
        <f>'Cash Flow %s Yr3'!P17</f>
        <v>0.25</v>
      </c>
      <c r="Q17" s="115">
        <f>'Cash Flow %s Yr3'!Q17</f>
        <v>0</v>
      </c>
      <c r="R17" s="115">
        <f>'Cash Flow %s Yr3'!R17</f>
        <v>0</v>
      </c>
      <c r="S17" s="111">
        <f t="shared" si="1"/>
        <v>1</v>
      </c>
      <c r="T17" s="1">
        <f>'Cash Flow %s Yr3'!T17</f>
        <v>0</v>
      </c>
    </row>
    <row r="18" spans="1:20" s="31" customFormat="1" x14ac:dyDescent="0.2">
      <c r="A18" s="49"/>
      <c r="B18" s="65" t="str">
        <f>'Revenue Input'!B14</f>
        <v>8520</v>
      </c>
      <c r="C18" s="65" t="str">
        <f>'Revenue Input'!C14</f>
        <v>State Child Nutrition program</v>
      </c>
      <c r="D18" s="115">
        <f>'Cash Flow %s Yr3'!D18</f>
        <v>0</v>
      </c>
      <c r="E18" s="115">
        <f>'Cash Flow %s Yr3'!E18</f>
        <v>0</v>
      </c>
      <c r="F18" s="115">
        <f>'Cash Flow %s Yr3'!F18</f>
        <v>0</v>
      </c>
      <c r="G18" s="115">
        <f>'Cash Flow %s Yr3'!G18</f>
        <v>0</v>
      </c>
      <c r="H18" s="115">
        <f>'Cash Flow %s Yr3'!H18</f>
        <v>0.1</v>
      </c>
      <c r="I18" s="115">
        <f>'Cash Flow %s Yr3'!I18</f>
        <v>0.1</v>
      </c>
      <c r="J18" s="115">
        <f>'Cash Flow %s Yr3'!J18</f>
        <v>0.1</v>
      </c>
      <c r="K18" s="115">
        <f>'Cash Flow %s Yr3'!K18</f>
        <v>0.1</v>
      </c>
      <c r="L18" s="115">
        <f>'Cash Flow %s Yr3'!L18</f>
        <v>0.1</v>
      </c>
      <c r="M18" s="115">
        <f>'Cash Flow %s Yr3'!M18</f>
        <v>0.1</v>
      </c>
      <c r="N18" s="115">
        <f>'Cash Flow %s Yr3'!N18</f>
        <v>0.1</v>
      </c>
      <c r="O18" s="115">
        <f>'Cash Flow %s Yr3'!O18</f>
        <v>0.1</v>
      </c>
      <c r="P18" s="115">
        <f>'Cash Flow %s Yr3'!P18</f>
        <v>0.1</v>
      </c>
      <c r="Q18" s="115">
        <f>'Cash Flow %s Yr3'!Q18</f>
        <v>0.1</v>
      </c>
      <c r="R18" s="115">
        <f>'Cash Flow %s Yr3'!R18</f>
        <v>0</v>
      </c>
      <c r="S18" s="111">
        <f t="shared" si="1"/>
        <v>0.99999999999999989</v>
      </c>
    </row>
    <row r="19" spans="1:20" s="31" customFormat="1" x14ac:dyDescent="0.2">
      <c r="A19" s="50"/>
      <c r="B19" s="65" t="str">
        <f>'Revenue Input'!B15</f>
        <v>8591</v>
      </c>
      <c r="C19" s="65" t="str">
        <f>'Revenue Input'!C15</f>
        <v>SB 740 Rent re-imbursement program</v>
      </c>
      <c r="D19" s="115">
        <f>'Cash Flow %s Yr3'!D19</f>
        <v>0</v>
      </c>
      <c r="E19" s="115">
        <f>'Cash Flow %s Yr3'!E19</f>
        <v>0</v>
      </c>
      <c r="F19" s="115">
        <f>'Cash Flow %s Yr3'!F19</f>
        <v>0</v>
      </c>
      <c r="G19" s="115">
        <f>'Cash Flow %s Yr3'!G19</f>
        <v>0</v>
      </c>
      <c r="H19" s="115">
        <f>'Cash Flow %s Yr3'!H19</f>
        <v>0.25</v>
      </c>
      <c r="I19" s="115">
        <f>'Cash Flow %s Yr3'!I19</f>
        <v>0</v>
      </c>
      <c r="J19" s="115">
        <f>'Cash Flow %s Yr3'!J19</f>
        <v>0</v>
      </c>
      <c r="K19" s="115">
        <f>'Cash Flow %s Yr3'!K19</f>
        <v>0.25</v>
      </c>
      <c r="L19" s="115">
        <f>'Cash Flow %s Yr3'!L19</f>
        <v>0</v>
      </c>
      <c r="M19" s="115">
        <f>'Cash Flow %s Yr3'!M19</f>
        <v>0</v>
      </c>
      <c r="N19" s="115">
        <f>'Cash Flow %s Yr3'!N19</f>
        <v>0.25</v>
      </c>
      <c r="O19" s="115">
        <f>'Cash Flow %s Yr3'!O19</f>
        <v>0</v>
      </c>
      <c r="P19" s="115">
        <f>'Cash Flow %s Yr3'!P19</f>
        <v>0</v>
      </c>
      <c r="Q19" s="115">
        <f>'Cash Flow %s Yr3'!Q19</f>
        <v>0.25</v>
      </c>
      <c r="R19" s="115">
        <f>'Cash Flow %s Yr3'!R19</f>
        <v>0</v>
      </c>
      <c r="S19" s="111">
        <f t="shared" si="1"/>
        <v>1</v>
      </c>
    </row>
    <row r="20" spans="1:20" s="31" customFormat="1" ht="18" x14ac:dyDescent="0.2">
      <c r="A20" s="47"/>
      <c r="B20" s="65" t="str">
        <f>'Revenue Input'!B16</f>
        <v>8590</v>
      </c>
      <c r="C20" s="65" t="str">
        <f>'Revenue Input'!C16</f>
        <v>Educator Effectiveness</v>
      </c>
      <c r="D20" s="115">
        <f>'Cash Flow %s Yr3'!D20</f>
        <v>0</v>
      </c>
      <c r="E20" s="115">
        <f>'Cash Flow %s Yr3'!E20</f>
        <v>0</v>
      </c>
      <c r="F20" s="115">
        <f>'Cash Flow %s Yr3'!F20</f>
        <v>0</v>
      </c>
      <c r="G20" s="115">
        <f>'Cash Flow %s Yr3'!G20</f>
        <v>0</v>
      </c>
      <c r="H20" s="115">
        <f>'Cash Flow %s Yr3'!H20</f>
        <v>0</v>
      </c>
      <c r="I20" s="115">
        <f>'Cash Flow %s Yr3'!I20</f>
        <v>0.8</v>
      </c>
      <c r="J20" s="115">
        <f>'Cash Flow %s Yr3'!J20</f>
        <v>0</v>
      </c>
      <c r="K20" s="115">
        <f>'Cash Flow %s Yr3'!K20</f>
        <v>0</v>
      </c>
      <c r="L20" s="115">
        <f>'Cash Flow %s Yr3'!L20</f>
        <v>0.2</v>
      </c>
      <c r="M20" s="115">
        <f>'Cash Flow %s Yr3'!M20</f>
        <v>0</v>
      </c>
      <c r="N20" s="115">
        <f>'Cash Flow %s Yr3'!N20</f>
        <v>0</v>
      </c>
      <c r="O20" s="115">
        <f>'Cash Flow %s Yr3'!O20</f>
        <v>0</v>
      </c>
      <c r="P20" s="115">
        <f>'Cash Flow %s Yr3'!P20</f>
        <v>0</v>
      </c>
      <c r="Q20" s="115">
        <f>'Cash Flow %s Yr3'!Q20</f>
        <v>0</v>
      </c>
      <c r="R20" s="115">
        <f>'Cash Flow %s Yr3'!R20</f>
        <v>0</v>
      </c>
      <c r="S20" s="111">
        <f t="shared" si="1"/>
        <v>1</v>
      </c>
    </row>
    <row r="21" spans="1:20" s="31" customFormat="1" ht="18" x14ac:dyDescent="0.2">
      <c r="A21" s="47"/>
      <c r="B21" s="65" t="str">
        <f>'Revenue Input'!B17</f>
        <v>8550</v>
      </c>
      <c r="C21" s="65" t="str">
        <f>'Revenue Input'!C17</f>
        <v>Mandate Block Grant</v>
      </c>
      <c r="D21" s="115">
        <f>'Cash Flow %s Yr3'!D21</f>
        <v>0</v>
      </c>
      <c r="E21" s="115">
        <f>'Cash Flow %s Yr3'!E21</f>
        <v>0</v>
      </c>
      <c r="F21" s="115">
        <f>'Cash Flow %s Yr3'!F21</f>
        <v>0.5</v>
      </c>
      <c r="G21" s="115">
        <f>'Cash Flow %s Yr3'!G21</f>
        <v>0</v>
      </c>
      <c r="H21" s="115">
        <f>'Cash Flow %s Yr3'!H21</f>
        <v>0</v>
      </c>
      <c r="I21" s="115">
        <f>'Cash Flow %s Yr3'!I21</f>
        <v>0</v>
      </c>
      <c r="J21" s="115">
        <f>'Cash Flow %s Yr3'!J21</f>
        <v>0.5</v>
      </c>
      <c r="K21" s="115">
        <f>'Cash Flow %s Yr3'!K21</f>
        <v>0</v>
      </c>
      <c r="L21" s="115">
        <f>'Cash Flow %s Yr3'!L21</f>
        <v>0</v>
      </c>
      <c r="M21" s="115">
        <f>'Cash Flow %s Yr3'!M21</f>
        <v>0</v>
      </c>
      <c r="N21" s="115">
        <f>'Cash Flow %s Yr3'!N21</f>
        <v>0</v>
      </c>
      <c r="O21" s="115">
        <f>'Cash Flow %s Yr3'!O21</f>
        <v>0</v>
      </c>
      <c r="P21" s="115">
        <f>'Cash Flow %s Yr3'!P21</f>
        <v>0</v>
      </c>
      <c r="Q21" s="115">
        <f>'Cash Flow %s Yr3'!Q21</f>
        <v>0</v>
      </c>
      <c r="R21" s="115">
        <f>'Cash Flow %s Yr3'!R21</f>
        <v>0</v>
      </c>
      <c r="S21" s="111">
        <f>SUM(D21:R21)</f>
        <v>1</v>
      </c>
    </row>
    <row r="22" spans="1:20" s="31" customFormat="1" ht="18" x14ac:dyDescent="0.2">
      <c r="A22" s="47"/>
      <c r="B22" s="65" t="str">
        <f>'Revenue Input'!B18</f>
        <v>8550</v>
      </c>
      <c r="C22" s="65" t="str">
        <f>'Revenue Input'!C18</f>
        <v>One Time Block Grant</v>
      </c>
      <c r="D22" s="115">
        <f>'Cash Flow %s Yr3'!D22</f>
        <v>0</v>
      </c>
      <c r="E22" s="115">
        <f>'Cash Flow %s Yr3'!E22</f>
        <v>0</v>
      </c>
      <c r="F22" s="115">
        <f>'Cash Flow %s Yr3'!F22</f>
        <v>0</v>
      </c>
      <c r="G22" s="115">
        <f>'Cash Flow %s Yr3'!G22</f>
        <v>0</v>
      </c>
      <c r="H22" s="115">
        <f>'Cash Flow %s Yr3'!H22</f>
        <v>0</v>
      </c>
      <c r="I22" s="115">
        <f>'Cash Flow %s Yr3'!I22</f>
        <v>0.8</v>
      </c>
      <c r="J22" s="115">
        <f>'Cash Flow %s Yr3'!J22</f>
        <v>0</v>
      </c>
      <c r="K22" s="115">
        <f>'Cash Flow %s Yr3'!K22</f>
        <v>0</v>
      </c>
      <c r="L22" s="115">
        <f>'Cash Flow %s Yr3'!L22</f>
        <v>0.2</v>
      </c>
      <c r="M22" s="115">
        <f>'Cash Flow %s Yr3'!M22</f>
        <v>0</v>
      </c>
      <c r="N22" s="115">
        <f>'Cash Flow %s Yr3'!N22</f>
        <v>0</v>
      </c>
      <c r="O22" s="115">
        <f>'Cash Flow %s Yr3'!O22</f>
        <v>0</v>
      </c>
      <c r="P22" s="115">
        <f>'Cash Flow %s Yr3'!P22</f>
        <v>0</v>
      </c>
      <c r="Q22" s="115">
        <f>'Cash Flow %s Yr3'!Q22</f>
        <v>0</v>
      </c>
      <c r="R22" s="115">
        <f>'Cash Flow %s Yr3'!R22</f>
        <v>0</v>
      </c>
      <c r="S22" s="111">
        <f t="shared" si="1"/>
        <v>1</v>
      </c>
    </row>
    <row r="23" spans="1:20" s="31" customFormat="1" ht="18" x14ac:dyDescent="0.2">
      <c r="A23" s="47"/>
      <c r="B23" s="72"/>
      <c r="C23" s="50"/>
      <c r="D23" s="120"/>
      <c r="E23" s="120"/>
      <c r="F23" s="120"/>
      <c r="G23" s="120"/>
      <c r="H23" s="120"/>
      <c r="I23" s="120"/>
      <c r="J23" s="120"/>
      <c r="K23" s="120"/>
      <c r="L23" s="120"/>
      <c r="M23" s="120"/>
      <c r="N23" s="120"/>
      <c r="O23" s="120"/>
      <c r="P23" s="120"/>
      <c r="Q23" s="120"/>
      <c r="R23" s="121"/>
      <c r="S23" s="111"/>
    </row>
    <row r="24" spans="1:20" s="31" customFormat="1" ht="18" x14ac:dyDescent="0.2">
      <c r="A24" s="47"/>
      <c r="B24" s="72"/>
      <c r="C24" s="50"/>
      <c r="D24" s="119"/>
      <c r="E24" s="119"/>
      <c r="F24" s="119"/>
      <c r="G24" s="119"/>
      <c r="H24" s="119"/>
      <c r="I24" s="119"/>
      <c r="J24" s="119"/>
      <c r="K24" s="119"/>
      <c r="L24" s="119"/>
      <c r="M24" s="119"/>
      <c r="N24" s="119"/>
      <c r="O24" s="119"/>
      <c r="P24" s="119"/>
      <c r="Q24" s="119"/>
      <c r="R24" s="119"/>
      <c r="S24" s="111"/>
    </row>
    <row r="25" spans="1:20" s="31" customFormat="1" ht="18" x14ac:dyDescent="0.2">
      <c r="B25" s="47" t="s">
        <v>785</v>
      </c>
      <c r="C25" s="50"/>
      <c r="D25" s="119"/>
      <c r="E25" s="119"/>
      <c r="F25" s="119"/>
      <c r="G25" s="119"/>
      <c r="H25" s="119"/>
      <c r="I25" s="119"/>
      <c r="J25" s="119"/>
      <c r="K25" s="119"/>
      <c r="L25" s="119"/>
      <c r="M25" s="119"/>
      <c r="N25" s="119"/>
      <c r="O25" s="119"/>
      <c r="P25" s="119"/>
      <c r="Q25" s="119"/>
      <c r="R25" s="119"/>
      <c r="S25" s="111"/>
    </row>
    <row r="26" spans="1:20" s="31" customFormat="1" ht="18" x14ac:dyDescent="0.2">
      <c r="A26" s="47"/>
      <c r="B26" s="65" t="str">
        <f>'Revenue Input'!B22</f>
        <v>8220</v>
      </c>
      <c r="C26" s="65" t="str">
        <f>'Revenue Input'!C22</f>
        <v>Federal Child Nutrition Programs</v>
      </c>
      <c r="D26" s="115">
        <f>'Cash Flow %s Yr3'!D26</f>
        <v>0</v>
      </c>
      <c r="E26" s="115">
        <f>'Cash Flow %s Yr3'!E26</f>
        <v>0</v>
      </c>
      <c r="F26" s="115">
        <f>'Cash Flow %s Yr3'!F26</f>
        <v>0</v>
      </c>
      <c r="G26" s="115">
        <f>'Cash Flow %s Yr3'!G26</f>
        <v>0</v>
      </c>
      <c r="H26" s="115">
        <f>'Cash Flow %s Yr3'!H26</f>
        <v>0.1</v>
      </c>
      <c r="I26" s="115">
        <f>'Cash Flow %s Yr3'!I26</f>
        <v>0.1</v>
      </c>
      <c r="J26" s="115">
        <f>'Cash Flow %s Yr3'!J26</f>
        <v>0.1</v>
      </c>
      <c r="K26" s="115">
        <f>'Cash Flow %s Yr3'!K26</f>
        <v>0.1</v>
      </c>
      <c r="L26" s="115">
        <f>'Cash Flow %s Yr3'!L26</f>
        <v>0.1</v>
      </c>
      <c r="M26" s="115">
        <f>'Cash Flow %s Yr3'!M26</f>
        <v>0.1</v>
      </c>
      <c r="N26" s="115">
        <f>'Cash Flow %s Yr3'!N26</f>
        <v>0.1</v>
      </c>
      <c r="O26" s="115">
        <f>'Cash Flow %s Yr3'!O26</f>
        <v>0.1</v>
      </c>
      <c r="P26" s="115">
        <f>'Cash Flow %s Yr3'!P26</f>
        <v>0.1</v>
      </c>
      <c r="Q26" s="115">
        <f>'Cash Flow %s Yr3'!Q26</f>
        <v>0.1</v>
      </c>
      <c r="R26" s="115">
        <f>'Cash Flow %s Yr3'!R26</f>
        <v>0</v>
      </c>
      <c r="S26" s="111">
        <f t="shared" ref="S26:S33" si="2">SUM(D26:R26)</f>
        <v>0.99999999999999989</v>
      </c>
    </row>
    <row r="27" spans="1:20" s="31" customFormat="1" ht="18" x14ac:dyDescent="0.2">
      <c r="A27" s="47"/>
      <c r="B27" s="65" t="str">
        <f>'Revenue Input'!B23</f>
        <v>8290</v>
      </c>
      <c r="C27" s="65" t="str">
        <f>'Revenue Input'!C23</f>
        <v>All Other Federal Revenue, inc Facilities Incentive Grants program</v>
      </c>
      <c r="D27" s="115">
        <f>'Cash Flow %s Yr3'!D27</f>
        <v>0</v>
      </c>
      <c r="E27" s="115">
        <f>'Cash Flow %s Yr3'!E27</f>
        <v>0</v>
      </c>
      <c r="F27" s="115">
        <f>'Cash Flow %s Yr3'!F27</f>
        <v>0</v>
      </c>
      <c r="G27" s="115">
        <f>'Cash Flow %s Yr3'!G27</f>
        <v>0</v>
      </c>
      <c r="H27" s="115">
        <f>'Cash Flow %s Yr3'!H27</f>
        <v>0</v>
      </c>
      <c r="I27" s="115">
        <f>'Cash Flow %s Yr3'!I27</f>
        <v>0</v>
      </c>
      <c r="J27" s="115">
        <f>'Cash Flow %s Yr3'!J27</f>
        <v>0.25</v>
      </c>
      <c r="K27" s="115">
        <f>'Cash Flow %s Yr3'!K27</f>
        <v>0</v>
      </c>
      <c r="L27" s="115">
        <f>'Cash Flow %s Yr3'!L27</f>
        <v>0</v>
      </c>
      <c r="M27" s="115">
        <f>'Cash Flow %s Yr3'!M27</f>
        <v>0.5</v>
      </c>
      <c r="N27" s="115">
        <f>'Cash Flow %s Yr3'!N27</f>
        <v>0</v>
      </c>
      <c r="O27" s="115">
        <f>'Cash Flow %s Yr3'!O27</f>
        <v>0.25</v>
      </c>
      <c r="P27" s="115">
        <f>'Cash Flow %s Yr3'!P27</f>
        <v>0</v>
      </c>
      <c r="Q27" s="115">
        <f>'Cash Flow %s Yr3'!Q27</f>
        <v>0</v>
      </c>
      <c r="R27" s="115">
        <f>'Cash Flow %s Yr3'!R27</f>
        <v>0</v>
      </c>
      <c r="S27" s="111">
        <f t="shared" si="2"/>
        <v>1</v>
      </c>
    </row>
    <row r="28" spans="1:20" s="31" customFormat="1" ht="18" x14ac:dyDescent="0.2">
      <c r="A28" s="47"/>
      <c r="B28" s="65" t="str">
        <f>'Revenue Input'!B24</f>
        <v>8291</v>
      </c>
      <c r="C28" s="65" t="str">
        <f>'Revenue Input'!C24</f>
        <v>Title I</v>
      </c>
      <c r="D28" s="115">
        <f>'Cash Flow %s Yr3'!D28</f>
        <v>0</v>
      </c>
      <c r="E28" s="115">
        <f>'Cash Flow %s Yr3'!E28</f>
        <v>0</v>
      </c>
      <c r="F28" s="115">
        <f>'Cash Flow %s Yr3'!F28</f>
        <v>0</v>
      </c>
      <c r="G28" s="115">
        <f>'Cash Flow %s Yr3'!G28</f>
        <v>0</v>
      </c>
      <c r="H28" s="115">
        <f>'Cash Flow %s Yr3'!H28</f>
        <v>0</v>
      </c>
      <c r="I28" s="115">
        <f>'Cash Flow %s Yr3'!I28</f>
        <v>0</v>
      </c>
      <c r="J28" s="115">
        <f>'Cash Flow %s Yr3'!J28</f>
        <v>0.25</v>
      </c>
      <c r="K28" s="115">
        <f>'Cash Flow %s Yr3'!K28</f>
        <v>0</v>
      </c>
      <c r="L28" s="115">
        <f>'Cash Flow %s Yr3'!L28</f>
        <v>0</v>
      </c>
      <c r="M28" s="115">
        <f>'Cash Flow %s Yr3'!M28</f>
        <v>0.5</v>
      </c>
      <c r="N28" s="115">
        <f>'Cash Flow %s Yr3'!N28</f>
        <v>0</v>
      </c>
      <c r="O28" s="115">
        <f>'Cash Flow %s Yr3'!O28</f>
        <v>0.25</v>
      </c>
      <c r="P28" s="115">
        <f>'Cash Flow %s Yr3'!P28</f>
        <v>0</v>
      </c>
      <c r="Q28" s="115">
        <f>'Cash Flow %s Yr3'!Q28</f>
        <v>0</v>
      </c>
      <c r="R28" s="115">
        <f>'Cash Flow %s Yr3'!R28</f>
        <v>0</v>
      </c>
      <c r="S28" s="111">
        <f t="shared" si="2"/>
        <v>1</v>
      </c>
    </row>
    <row r="29" spans="1:20" s="31" customFormat="1" ht="18" x14ac:dyDescent="0.2">
      <c r="A29" s="47"/>
      <c r="B29" s="65" t="str">
        <f>'Revenue Input'!B25</f>
        <v>8292</v>
      </c>
      <c r="C29" s="65" t="str">
        <f>'Revenue Input'!C25</f>
        <v>Title II</v>
      </c>
      <c r="D29" s="115">
        <f>'Cash Flow %s Yr3'!D29</f>
        <v>0</v>
      </c>
      <c r="E29" s="115">
        <f>'Cash Flow %s Yr3'!E29</f>
        <v>0</v>
      </c>
      <c r="F29" s="115">
        <f>'Cash Flow %s Yr3'!F29</f>
        <v>0</v>
      </c>
      <c r="G29" s="115">
        <f>'Cash Flow %s Yr3'!G29</f>
        <v>0</v>
      </c>
      <c r="H29" s="115">
        <f>'Cash Flow %s Yr3'!H29</f>
        <v>0</v>
      </c>
      <c r="I29" s="115">
        <f>'Cash Flow %s Yr3'!I29</f>
        <v>0</v>
      </c>
      <c r="J29" s="115">
        <f>'Cash Flow %s Yr3'!J29</f>
        <v>0.25</v>
      </c>
      <c r="K29" s="115">
        <f>'Cash Flow %s Yr3'!K29</f>
        <v>0</v>
      </c>
      <c r="L29" s="115">
        <f>'Cash Flow %s Yr3'!L29</f>
        <v>0</v>
      </c>
      <c r="M29" s="115">
        <f>'Cash Flow %s Yr3'!M29</f>
        <v>0.5</v>
      </c>
      <c r="N29" s="115">
        <f>'Cash Flow %s Yr3'!N29</f>
        <v>0</v>
      </c>
      <c r="O29" s="115">
        <f>'Cash Flow %s Yr3'!O29</f>
        <v>0.25</v>
      </c>
      <c r="P29" s="115">
        <f>'Cash Flow %s Yr3'!P29</f>
        <v>0</v>
      </c>
      <c r="Q29" s="115">
        <f>'Cash Flow %s Yr3'!Q29</f>
        <v>0</v>
      </c>
      <c r="R29" s="115">
        <f>'Cash Flow %s Yr3'!R29</f>
        <v>0</v>
      </c>
      <c r="S29" s="111">
        <f t="shared" si="2"/>
        <v>1</v>
      </c>
    </row>
    <row r="30" spans="1:20" s="31" customFormat="1" ht="18" x14ac:dyDescent="0.2">
      <c r="A30" s="47"/>
      <c r="B30" s="65" t="str">
        <f>'Revenue Input'!B26</f>
        <v>8293</v>
      </c>
      <c r="C30" s="65" t="str">
        <f>'Revenue Input'!C26</f>
        <v>Title III</v>
      </c>
      <c r="D30" s="115">
        <f>'Cash Flow %s Yr3'!D30</f>
        <v>0</v>
      </c>
      <c r="E30" s="115">
        <f>'Cash Flow %s Yr3'!E30</f>
        <v>0</v>
      </c>
      <c r="F30" s="115">
        <f>'Cash Flow %s Yr3'!F30</f>
        <v>0</v>
      </c>
      <c r="G30" s="115">
        <f>'Cash Flow %s Yr3'!G30</f>
        <v>0</v>
      </c>
      <c r="H30" s="115">
        <f>'Cash Flow %s Yr3'!H30</f>
        <v>0</v>
      </c>
      <c r="I30" s="115">
        <f>'Cash Flow %s Yr3'!I30</f>
        <v>0</v>
      </c>
      <c r="J30" s="115">
        <f>'Cash Flow %s Yr3'!J30</f>
        <v>0.25</v>
      </c>
      <c r="K30" s="115">
        <f>'Cash Flow %s Yr3'!K30</f>
        <v>0</v>
      </c>
      <c r="L30" s="115">
        <f>'Cash Flow %s Yr3'!L30</f>
        <v>0</v>
      </c>
      <c r="M30" s="115">
        <f>'Cash Flow %s Yr3'!M30</f>
        <v>0.5</v>
      </c>
      <c r="N30" s="115">
        <f>'Cash Flow %s Yr3'!N30</f>
        <v>0</v>
      </c>
      <c r="O30" s="115">
        <f>'Cash Flow %s Yr3'!O30</f>
        <v>0.25</v>
      </c>
      <c r="P30" s="115">
        <f>'Cash Flow %s Yr3'!P30</f>
        <v>0</v>
      </c>
      <c r="Q30" s="115">
        <f>'Cash Flow %s Yr3'!Q30</f>
        <v>0</v>
      </c>
      <c r="R30" s="115">
        <f>'Cash Flow %s Yr3'!R30</f>
        <v>0</v>
      </c>
      <c r="S30" s="111">
        <f t="shared" si="2"/>
        <v>1</v>
      </c>
    </row>
    <row r="31" spans="1:20" s="31" customFormat="1" ht="18" x14ac:dyDescent="0.2">
      <c r="A31" s="47"/>
      <c r="B31" s="65" t="str">
        <f>'Revenue Input'!B27</f>
        <v>8294</v>
      </c>
      <c r="C31" s="65" t="str">
        <f>'Revenue Input'!C27</f>
        <v>Title IV</v>
      </c>
      <c r="D31" s="115">
        <f>'Cash Flow %s Yr3'!D31</f>
        <v>0</v>
      </c>
      <c r="E31" s="115">
        <f>'Cash Flow %s Yr3'!E31</f>
        <v>0</v>
      </c>
      <c r="F31" s="115">
        <f>'Cash Flow %s Yr3'!F31</f>
        <v>0</v>
      </c>
      <c r="G31" s="115">
        <f>'Cash Flow %s Yr3'!G31</f>
        <v>0</v>
      </c>
      <c r="H31" s="115">
        <f>'Cash Flow %s Yr3'!H31</f>
        <v>0</v>
      </c>
      <c r="I31" s="115">
        <f>'Cash Flow %s Yr3'!I31</f>
        <v>0</v>
      </c>
      <c r="J31" s="115">
        <f>'Cash Flow %s Yr3'!J31</f>
        <v>0.25</v>
      </c>
      <c r="K31" s="115">
        <f>'Cash Flow %s Yr3'!K31</f>
        <v>0</v>
      </c>
      <c r="L31" s="115">
        <f>'Cash Flow %s Yr3'!L31</f>
        <v>0</v>
      </c>
      <c r="M31" s="115">
        <f>'Cash Flow %s Yr3'!M31</f>
        <v>0.5</v>
      </c>
      <c r="N31" s="115">
        <f>'Cash Flow %s Yr3'!N31</f>
        <v>0</v>
      </c>
      <c r="O31" s="115">
        <f>'Cash Flow %s Yr3'!O31</f>
        <v>0.25</v>
      </c>
      <c r="P31" s="115">
        <f>'Cash Flow %s Yr3'!P31</f>
        <v>0</v>
      </c>
      <c r="Q31" s="115">
        <f>'Cash Flow %s Yr3'!Q31</f>
        <v>0</v>
      </c>
      <c r="R31" s="115">
        <f>'Cash Flow %s Yr3'!R31</f>
        <v>0</v>
      </c>
      <c r="S31" s="111">
        <f t="shared" si="2"/>
        <v>1</v>
      </c>
    </row>
    <row r="32" spans="1:20" s="31" customFormat="1" ht="18" x14ac:dyDescent="0.2">
      <c r="A32" s="47"/>
      <c r="B32" s="65" t="str">
        <f>'Revenue Input'!B28</f>
        <v>8295</v>
      </c>
      <c r="C32" s="65" t="str">
        <f>'Revenue Input'!C28</f>
        <v>Title V</v>
      </c>
      <c r="D32" s="115">
        <f>'Cash Flow %s Yr3'!D32</f>
        <v>0</v>
      </c>
      <c r="E32" s="115">
        <f>'Cash Flow %s Yr3'!E32</f>
        <v>0</v>
      </c>
      <c r="F32" s="115">
        <f>'Cash Flow %s Yr3'!F32</f>
        <v>1</v>
      </c>
      <c r="G32" s="115">
        <f>'Cash Flow %s Yr3'!G32</f>
        <v>0</v>
      </c>
      <c r="H32" s="115">
        <f>'Cash Flow %s Yr3'!H32</f>
        <v>0</v>
      </c>
      <c r="I32" s="115">
        <f>'Cash Flow %s Yr3'!I32</f>
        <v>0</v>
      </c>
      <c r="J32" s="115">
        <f>'Cash Flow %s Yr3'!J32</f>
        <v>0</v>
      </c>
      <c r="K32" s="115">
        <f>'Cash Flow %s Yr3'!K32</f>
        <v>0</v>
      </c>
      <c r="L32" s="115">
        <f>'Cash Flow %s Yr3'!L32</f>
        <v>0</v>
      </c>
      <c r="M32" s="115">
        <f>'Cash Flow %s Yr3'!M32</f>
        <v>0</v>
      </c>
      <c r="N32" s="115">
        <f>'Cash Flow %s Yr3'!N32</f>
        <v>0</v>
      </c>
      <c r="O32" s="115">
        <f>'Cash Flow %s Yr3'!O32</f>
        <v>0</v>
      </c>
      <c r="P32" s="115">
        <f>'Cash Flow %s Yr3'!P32</f>
        <v>0</v>
      </c>
      <c r="Q32" s="115">
        <f>'Cash Flow %s Yr3'!Q32</f>
        <v>0</v>
      </c>
      <c r="R32" s="115">
        <f>'Cash Flow %s Yr3'!R32</f>
        <v>0</v>
      </c>
      <c r="S32" s="111">
        <f t="shared" si="2"/>
        <v>1</v>
      </c>
    </row>
    <row r="33" spans="1:19" s="31" customFormat="1" ht="18" x14ac:dyDescent="0.2">
      <c r="A33" s="47"/>
      <c r="B33" s="65" t="str">
        <f>'Revenue Input'!B29</f>
        <v>8299</v>
      </c>
      <c r="C33" s="65" t="str">
        <f>'Revenue Input'!C29</f>
        <v>Prior Year Federal Revenue</v>
      </c>
      <c r="D33" s="115">
        <f>'Cash Flow %s Yr3'!D33</f>
        <v>0</v>
      </c>
      <c r="E33" s="115">
        <f>'Cash Flow %s Yr3'!E33</f>
        <v>0</v>
      </c>
      <c r="F33" s="115">
        <f>'Cash Flow %s Yr3'!F33</f>
        <v>0.5</v>
      </c>
      <c r="G33" s="115">
        <f>'Cash Flow %s Yr3'!G33</f>
        <v>0</v>
      </c>
      <c r="H33" s="115">
        <f>'Cash Flow %s Yr3'!H33</f>
        <v>0</v>
      </c>
      <c r="I33" s="115" t="e">
        <f>'Cash Flow %s Yr3'!I33</f>
        <v>#REF!</v>
      </c>
      <c r="J33" s="115">
        <f>'Cash Flow %s Yr3'!J33</f>
        <v>0</v>
      </c>
      <c r="K33" s="115">
        <f>'Cash Flow %s Yr3'!K33</f>
        <v>0.4</v>
      </c>
      <c r="L33" s="115">
        <f>'Cash Flow %s Yr3'!L33</f>
        <v>0</v>
      </c>
      <c r="M33" s="115">
        <f>'Cash Flow %s Yr3'!M33</f>
        <v>0</v>
      </c>
      <c r="N33" s="115">
        <f>'Cash Flow %s Yr3'!N33</f>
        <v>0.1</v>
      </c>
      <c r="O33" s="115">
        <f>'Cash Flow %s Yr3'!O33</f>
        <v>0</v>
      </c>
      <c r="P33" s="115">
        <f>'Cash Flow %s Yr3'!P33</f>
        <v>0</v>
      </c>
      <c r="Q33" s="115">
        <f>'Cash Flow %s Yr3'!Q33</f>
        <v>0</v>
      </c>
      <c r="R33" s="115">
        <f>'Cash Flow %s Yr3'!R33</f>
        <v>0</v>
      </c>
      <c r="S33" s="111" t="e">
        <f t="shared" si="2"/>
        <v>#REF!</v>
      </c>
    </row>
    <row r="34" spans="1:19" s="31" customFormat="1" ht="18" x14ac:dyDescent="0.2">
      <c r="A34" s="47"/>
      <c r="B34" s="72"/>
      <c r="C34" s="50"/>
      <c r="D34" s="120"/>
      <c r="E34" s="120"/>
      <c r="F34" s="120"/>
      <c r="G34" s="120"/>
      <c r="H34" s="120"/>
      <c r="I34" s="120"/>
      <c r="J34" s="120"/>
      <c r="K34" s="120"/>
      <c r="L34" s="120"/>
      <c r="M34" s="120"/>
      <c r="N34" s="120"/>
      <c r="O34" s="120"/>
      <c r="P34" s="120"/>
      <c r="Q34" s="120"/>
      <c r="R34" s="120"/>
      <c r="S34" s="111"/>
    </row>
    <row r="35" spans="1:19" s="31" customFormat="1" ht="18" x14ac:dyDescent="0.2">
      <c r="A35" s="47"/>
      <c r="B35" s="72"/>
      <c r="C35" s="50"/>
      <c r="D35" s="123"/>
      <c r="E35" s="123"/>
      <c r="F35" s="123"/>
      <c r="G35" s="123"/>
      <c r="H35" s="123"/>
      <c r="I35" s="123"/>
      <c r="J35" s="123"/>
      <c r="K35" s="123"/>
      <c r="L35" s="123"/>
      <c r="M35" s="123"/>
      <c r="N35" s="123"/>
      <c r="O35" s="123"/>
      <c r="P35" s="123"/>
      <c r="Q35" s="123"/>
      <c r="R35" s="123"/>
      <c r="S35" s="111"/>
    </row>
    <row r="36" spans="1:19" s="31" customFormat="1" ht="18" x14ac:dyDescent="0.2">
      <c r="B36" s="47" t="s">
        <v>795</v>
      </c>
      <c r="C36" s="50"/>
      <c r="D36" s="123"/>
      <c r="E36" s="123"/>
      <c r="F36" s="123"/>
      <c r="G36" s="123"/>
      <c r="H36" s="123"/>
      <c r="I36" s="123"/>
      <c r="J36" s="123"/>
      <c r="K36" s="123"/>
      <c r="L36" s="123"/>
      <c r="M36" s="123"/>
      <c r="N36" s="123"/>
      <c r="O36" s="123"/>
      <c r="P36" s="123"/>
      <c r="Q36" s="123"/>
      <c r="R36" s="123"/>
      <c r="S36" s="111"/>
    </row>
    <row r="37" spans="1:19" s="31" customFormat="1" ht="18" x14ac:dyDescent="0.2">
      <c r="A37" s="47"/>
      <c r="B37" s="65" t="str">
        <f>'Revenue Input'!B33</f>
        <v>8660</v>
      </c>
      <c r="C37" s="65" t="str">
        <f>'Revenue Input'!C33</f>
        <v>Interest</v>
      </c>
      <c r="D37" s="115">
        <f>'Cash Flow %s Yr3'!D37</f>
        <v>8.3000000000000004E-2</v>
      </c>
      <c r="E37" s="115">
        <f>'Cash Flow %s Yr3'!E37</f>
        <v>8.3000000000000004E-2</v>
      </c>
      <c r="F37" s="115">
        <f>'Cash Flow %s Yr3'!F37</f>
        <v>8.3000000000000004E-2</v>
      </c>
      <c r="G37" s="115">
        <f>'Cash Flow %s Yr3'!G37</f>
        <v>8.3000000000000004E-2</v>
      </c>
      <c r="H37" s="115">
        <f>'Cash Flow %s Yr3'!H37</f>
        <v>8.3000000000000004E-2</v>
      </c>
      <c r="I37" s="115">
        <f>'Cash Flow %s Yr3'!I37</f>
        <v>8.3000000000000004E-2</v>
      </c>
      <c r="J37" s="115">
        <f>'Cash Flow %s Yr3'!J37</f>
        <v>8.3000000000000004E-2</v>
      </c>
      <c r="K37" s="115">
        <f>'Cash Flow %s Yr3'!K37</f>
        <v>8.3000000000000004E-2</v>
      </c>
      <c r="L37" s="115">
        <f>'Cash Flow %s Yr3'!L37</f>
        <v>8.4000000000000005E-2</v>
      </c>
      <c r="M37" s="115">
        <f>'Cash Flow %s Yr3'!M37</f>
        <v>8.4000000000000005E-2</v>
      </c>
      <c r="N37" s="115">
        <f>'Cash Flow %s Yr3'!N37</f>
        <v>8.4000000000000005E-2</v>
      </c>
      <c r="O37" s="115">
        <f>'Cash Flow %s Yr3'!O37</f>
        <v>8.4000000000000005E-2</v>
      </c>
      <c r="P37" s="115">
        <f>'Cash Flow %s Yr3'!P37</f>
        <v>0</v>
      </c>
      <c r="Q37" s="115">
        <f>'Cash Flow %s Yr3'!Q37</f>
        <v>0</v>
      </c>
      <c r="R37" s="115">
        <f>'Cash Flow %s Yr3'!R37</f>
        <v>0</v>
      </c>
      <c r="S37" s="111">
        <f t="shared" ref="S37:S49" si="3">SUM(D37:R37)</f>
        <v>0.99999999999999989</v>
      </c>
    </row>
    <row r="38" spans="1:19" s="31" customFormat="1" ht="18" x14ac:dyDescent="0.2">
      <c r="A38" s="47"/>
      <c r="B38" s="65" t="str">
        <f>'Revenue Input'!B34</f>
        <v>8782</v>
      </c>
      <c r="C38" s="65" t="str">
        <f>'Revenue Input'!C34</f>
        <v>All Other Transfers from County Offices</v>
      </c>
      <c r="D38" s="115">
        <f>'Cash Flow %s Yr3'!D38</f>
        <v>0</v>
      </c>
      <c r="E38" s="115">
        <f>'Cash Flow %s Yr3'!E38</f>
        <v>0</v>
      </c>
      <c r="F38" s="115">
        <f>'Cash Flow %s Yr3'!F38</f>
        <v>0.1</v>
      </c>
      <c r="G38" s="115">
        <f>'Cash Flow %s Yr3'!G38</f>
        <v>0.1</v>
      </c>
      <c r="H38" s="115">
        <f>'Cash Flow %s Yr3'!H38</f>
        <v>0.1</v>
      </c>
      <c r="I38" s="115">
        <f>'Cash Flow %s Yr3'!I38</f>
        <v>0.1</v>
      </c>
      <c r="J38" s="115">
        <f>'Cash Flow %s Yr3'!J38</f>
        <v>0.1</v>
      </c>
      <c r="K38" s="115">
        <f>'Cash Flow %s Yr3'!K38</f>
        <v>0.1</v>
      </c>
      <c r="L38" s="115">
        <f>'Cash Flow %s Yr3'!L38</f>
        <v>0.1</v>
      </c>
      <c r="M38" s="115">
        <f>'Cash Flow %s Yr3'!M38</f>
        <v>0.1</v>
      </c>
      <c r="N38" s="115">
        <f>'Cash Flow %s Yr3'!N38</f>
        <v>0.1</v>
      </c>
      <c r="O38" s="115">
        <f>'Cash Flow %s Yr3'!O38</f>
        <v>0.1</v>
      </c>
      <c r="P38" s="115">
        <f>'Cash Flow %s Yr3'!P38</f>
        <v>0</v>
      </c>
      <c r="Q38" s="115">
        <f>'Cash Flow %s Yr3'!Q38</f>
        <v>0</v>
      </c>
      <c r="R38" s="115">
        <f>'Cash Flow %s Yr3'!R38</f>
        <v>0</v>
      </c>
      <c r="S38" s="111">
        <f t="shared" si="3"/>
        <v>0.99999999999999989</v>
      </c>
    </row>
    <row r="39" spans="1:19" s="31" customFormat="1" ht="18" x14ac:dyDescent="0.2">
      <c r="A39" s="47"/>
      <c r="B39" s="65" t="str">
        <f>'Revenue Input'!B35</f>
        <v>8784</v>
      </c>
      <c r="C39" s="65" t="str">
        <f>'Revenue Input'!C35</f>
        <v>All Other Transfers from Other Locations</v>
      </c>
      <c r="D39" s="115">
        <f>'Cash Flow %s Yr3'!D39</f>
        <v>0</v>
      </c>
      <c r="E39" s="115">
        <f>'Cash Flow %s Yr3'!E39</f>
        <v>0</v>
      </c>
      <c r="F39" s="115">
        <f>'Cash Flow %s Yr3'!F39</f>
        <v>0.1</v>
      </c>
      <c r="G39" s="115">
        <f>'Cash Flow %s Yr3'!G39</f>
        <v>0.1</v>
      </c>
      <c r="H39" s="115">
        <f>'Cash Flow %s Yr3'!H39</f>
        <v>0.1</v>
      </c>
      <c r="I39" s="115">
        <f>'Cash Flow %s Yr3'!I39</f>
        <v>0.1</v>
      </c>
      <c r="J39" s="115">
        <f>'Cash Flow %s Yr3'!J39</f>
        <v>0.1</v>
      </c>
      <c r="K39" s="115">
        <f>'Cash Flow %s Yr3'!K39</f>
        <v>0.1</v>
      </c>
      <c r="L39" s="115">
        <f>'Cash Flow %s Yr3'!L39</f>
        <v>0.1</v>
      </c>
      <c r="M39" s="115">
        <f>'Cash Flow %s Yr3'!M39</f>
        <v>0.1</v>
      </c>
      <c r="N39" s="115">
        <f>'Cash Flow %s Yr3'!N39</f>
        <v>0.1</v>
      </c>
      <c r="O39" s="115">
        <f>'Cash Flow %s Yr3'!O39</f>
        <v>0.1</v>
      </c>
      <c r="P39" s="115">
        <f>'Cash Flow %s Yr3'!P39</f>
        <v>0</v>
      </c>
      <c r="Q39" s="115">
        <f>'Cash Flow %s Yr3'!Q39</f>
        <v>0</v>
      </c>
      <c r="R39" s="115">
        <f>'Cash Flow %s Yr3'!R39</f>
        <v>0</v>
      </c>
      <c r="S39" s="111">
        <f t="shared" si="3"/>
        <v>0.99999999999999989</v>
      </c>
    </row>
    <row r="40" spans="1:19" s="31" customFormat="1" x14ac:dyDescent="0.2">
      <c r="A40" s="49"/>
      <c r="B40" s="65" t="str">
        <f>'Revenue Input'!B36</f>
        <v>8785</v>
      </c>
      <c r="C40" s="65" t="str">
        <f>'Revenue Input'!C36</f>
        <v>CMO Management fee</v>
      </c>
      <c r="D40" s="115">
        <f>'Cash Flow %s Yr3'!D40</f>
        <v>0</v>
      </c>
      <c r="E40" s="115">
        <f>'Cash Flow %s Yr3'!E40</f>
        <v>0</v>
      </c>
      <c r="F40" s="115">
        <f>'Cash Flow %s Yr3'!F40</f>
        <v>0.1</v>
      </c>
      <c r="G40" s="115">
        <f>'Cash Flow %s Yr3'!G40</f>
        <v>0.1</v>
      </c>
      <c r="H40" s="115">
        <f>'Cash Flow %s Yr3'!H40</f>
        <v>0.1</v>
      </c>
      <c r="I40" s="115">
        <f>'Cash Flow %s Yr3'!I40</f>
        <v>0.1</v>
      </c>
      <c r="J40" s="115">
        <f>'Cash Flow %s Yr3'!J40</f>
        <v>0.1</v>
      </c>
      <c r="K40" s="115">
        <f>'Cash Flow %s Yr3'!K40</f>
        <v>0.1</v>
      </c>
      <c r="L40" s="115">
        <f>'Cash Flow %s Yr3'!L40</f>
        <v>0.1</v>
      </c>
      <c r="M40" s="115">
        <f>'Cash Flow %s Yr3'!M40</f>
        <v>0.1</v>
      </c>
      <c r="N40" s="115">
        <f>'Cash Flow %s Yr3'!N40</f>
        <v>0.1</v>
      </c>
      <c r="O40" s="115">
        <f>'Cash Flow %s Yr3'!O40</f>
        <v>0.1</v>
      </c>
      <c r="P40" s="115">
        <f>'Cash Flow %s Yr3'!P40</f>
        <v>0</v>
      </c>
      <c r="Q40" s="115">
        <f>'Cash Flow %s Yr3'!Q40</f>
        <v>0</v>
      </c>
      <c r="R40" s="115">
        <f>'Cash Flow %s Yr3'!R40</f>
        <v>0</v>
      </c>
      <c r="S40" s="111">
        <f t="shared" si="3"/>
        <v>0.99999999999999989</v>
      </c>
    </row>
    <row r="41" spans="1:19" s="31" customFormat="1" x14ac:dyDescent="0.2">
      <c r="A41" s="50"/>
      <c r="B41" s="65" t="str">
        <f>'Revenue Input'!B37</f>
        <v>8792</v>
      </c>
      <c r="C41" s="65" t="str">
        <f>'Revenue Input'!C37</f>
        <v>Special Ed - AB 602</v>
      </c>
      <c r="D41" s="115">
        <f>'Cash Flow %s Yr3'!D41</f>
        <v>0</v>
      </c>
      <c r="E41" s="115">
        <f>'Cash Flow %s Yr3'!E41</f>
        <v>0</v>
      </c>
      <c r="F41" s="115">
        <f>'Cash Flow %s Yr3'!F41</f>
        <v>0.1</v>
      </c>
      <c r="G41" s="115">
        <f>'Cash Flow %s Yr3'!G41</f>
        <v>0.1</v>
      </c>
      <c r="H41" s="115">
        <f>'Cash Flow %s Yr3'!H41</f>
        <v>0.1</v>
      </c>
      <c r="I41" s="115">
        <f>'Cash Flow %s Yr3'!I41</f>
        <v>0.1</v>
      </c>
      <c r="J41" s="115">
        <f>'Cash Flow %s Yr3'!J41</f>
        <v>0.1</v>
      </c>
      <c r="K41" s="115">
        <f>'Cash Flow %s Yr3'!K41</f>
        <v>0.1</v>
      </c>
      <c r="L41" s="115">
        <f>'Cash Flow %s Yr3'!L41</f>
        <v>0.1</v>
      </c>
      <c r="M41" s="115">
        <f>'Cash Flow %s Yr3'!M41</f>
        <v>0.1</v>
      </c>
      <c r="N41" s="115">
        <f>'Cash Flow %s Yr3'!N41</f>
        <v>0.1</v>
      </c>
      <c r="O41" s="115">
        <f>'Cash Flow %s Yr3'!O41</f>
        <v>0.1</v>
      </c>
      <c r="P41" s="115">
        <f>'Cash Flow %s Yr3'!P41</f>
        <v>0</v>
      </c>
      <c r="Q41" s="115">
        <f>'Cash Flow %s Yr3'!Q41</f>
        <v>0</v>
      </c>
      <c r="R41" s="115">
        <f>'Cash Flow %s Yr3'!R41</f>
        <v>0</v>
      </c>
      <c r="S41" s="111">
        <f t="shared" si="3"/>
        <v>0.99999999999999989</v>
      </c>
    </row>
    <row r="42" spans="1:19" s="31" customFormat="1" ht="18" x14ac:dyDescent="0.2">
      <c r="A42" s="47"/>
      <c r="B42" s="65" t="str">
        <f>'Revenue Input'!B38</f>
        <v>8980</v>
      </c>
      <c r="C42" s="65" t="str">
        <f>'Revenue Input'!C38</f>
        <v>Student Lunch Revenue</v>
      </c>
      <c r="D42" s="115">
        <f>'Cash Flow %s Yr3'!D42</f>
        <v>0</v>
      </c>
      <c r="E42" s="115">
        <f>'Cash Flow %s Yr3'!E42</f>
        <v>0</v>
      </c>
      <c r="F42" s="115">
        <f>'Cash Flow %s Yr3'!F42</f>
        <v>0.1</v>
      </c>
      <c r="G42" s="115">
        <f>'Cash Flow %s Yr3'!G42</f>
        <v>0.1</v>
      </c>
      <c r="H42" s="115">
        <f>'Cash Flow %s Yr3'!H42</f>
        <v>0.1</v>
      </c>
      <c r="I42" s="115">
        <f>'Cash Flow %s Yr3'!I42</f>
        <v>0.1</v>
      </c>
      <c r="J42" s="115">
        <f>'Cash Flow %s Yr3'!J42</f>
        <v>0.1</v>
      </c>
      <c r="K42" s="115">
        <f>'Cash Flow %s Yr3'!K42</f>
        <v>0.1</v>
      </c>
      <c r="L42" s="115">
        <f>'Cash Flow %s Yr3'!L42</f>
        <v>0.1</v>
      </c>
      <c r="M42" s="115">
        <f>'Cash Flow %s Yr3'!M42</f>
        <v>0.1</v>
      </c>
      <c r="N42" s="115">
        <f>'Cash Flow %s Yr3'!N42</f>
        <v>0.1</v>
      </c>
      <c r="O42" s="115">
        <f>'Cash Flow %s Yr3'!O42</f>
        <v>0.1</v>
      </c>
      <c r="P42" s="115">
        <f>'Cash Flow %s Yr3'!P42</f>
        <v>0</v>
      </c>
      <c r="Q42" s="115">
        <f>'Cash Flow %s Yr3'!Q42</f>
        <v>0</v>
      </c>
      <c r="R42" s="115">
        <f>'Cash Flow %s Yr3'!R42</f>
        <v>0</v>
      </c>
      <c r="S42" s="111">
        <f t="shared" si="3"/>
        <v>0.99999999999999989</v>
      </c>
    </row>
    <row r="43" spans="1:19" s="31" customFormat="1" ht="18" x14ac:dyDescent="0.2">
      <c r="A43" s="47"/>
      <c r="B43" s="65" t="str">
        <f>'Revenue Input'!B39</f>
        <v>8982</v>
      </c>
      <c r="C43" s="65" t="str">
        <f>'Revenue Input'!C39</f>
        <v>Foundation Grants</v>
      </c>
      <c r="D43" s="115">
        <f>'Cash Flow %s Yr3'!D43</f>
        <v>0</v>
      </c>
      <c r="E43" s="115">
        <f>'Cash Flow %s Yr3'!E43</f>
        <v>0</v>
      </c>
      <c r="F43" s="115">
        <f>'Cash Flow %s Yr3'!F43</f>
        <v>0.1</v>
      </c>
      <c r="G43" s="115">
        <f>'Cash Flow %s Yr3'!G43</f>
        <v>0.1</v>
      </c>
      <c r="H43" s="115">
        <f>'Cash Flow %s Yr3'!H43</f>
        <v>0.1</v>
      </c>
      <c r="I43" s="115">
        <f>'Cash Flow %s Yr3'!I43</f>
        <v>0.1</v>
      </c>
      <c r="J43" s="115">
        <f>'Cash Flow %s Yr3'!J43</f>
        <v>0.1</v>
      </c>
      <c r="K43" s="115">
        <f>'Cash Flow %s Yr3'!K43</f>
        <v>0.1</v>
      </c>
      <c r="L43" s="115">
        <f>'Cash Flow %s Yr3'!L43</f>
        <v>0.1</v>
      </c>
      <c r="M43" s="115">
        <f>'Cash Flow %s Yr3'!M43</f>
        <v>0.1</v>
      </c>
      <c r="N43" s="115">
        <f>'Cash Flow %s Yr3'!N43</f>
        <v>0.1</v>
      </c>
      <c r="O43" s="115">
        <f>'Cash Flow %s Yr3'!O43</f>
        <v>0.1</v>
      </c>
      <c r="P43" s="115">
        <f>'Cash Flow %s Yr3'!P43</f>
        <v>0</v>
      </c>
      <c r="Q43" s="115">
        <f>'Cash Flow %s Yr3'!Q43</f>
        <v>0</v>
      </c>
      <c r="R43" s="115">
        <f>'Cash Flow %s Yr3'!R43</f>
        <v>0</v>
      </c>
      <c r="S43" s="111">
        <f t="shared" si="3"/>
        <v>0.99999999999999989</v>
      </c>
    </row>
    <row r="44" spans="1:19" s="31" customFormat="1" ht="18" x14ac:dyDescent="0.2">
      <c r="A44" s="47"/>
      <c r="B44" s="65" t="str">
        <f>'Revenue Input'!B40</f>
        <v>8983</v>
      </c>
      <c r="C44" s="65" t="str">
        <f>'Revenue Input'!C40</f>
        <v>All Other Local Revenue</v>
      </c>
      <c r="D44" s="115">
        <f>'Cash Flow %s Yr3'!D44</f>
        <v>0</v>
      </c>
      <c r="E44" s="115">
        <f>'Cash Flow %s Yr3'!E44</f>
        <v>0</v>
      </c>
      <c r="F44" s="115">
        <f>'Cash Flow %s Yr3'!F44</f>
        <v>0</v>
      </c>
      <c r="G44" s="115">
        <f>'Cash Flow %s Yr3'!G44</f>
        <v>0</v>
      </c>
      <c r="H44" s="115">
        <f>'Cash Flow %s Yr3'!H44</f>
        <v>0.1</v>
      </c>
      <c r="I44" s="115">
        <f>'Cash Flow %s Yr3'!I44</f>
        <v>0.1</v>
      </c>
      <c r="J44" s="115">
        <f>'Cash Flow %s Yr3'!J44</f>
        <v>0.1</v>
      </c>
      <c r="K44" s="115">
        <f>'Cash Flow %s Yr3'!K44</f>
        <v>0.1</v>
      </c>
      <c r="L44" s="115">
        <f>'Cash Flow %s Yr3'!L44</f>
        <v>0.1</v>
      </c>
      <c r="M44" s="115">
        <f>'Cash Flow %s Yr3'!M44</f>
        <v>0.1</v>
      </c>
      <c r="N44" s="115">
        <f>'Cash Flow %s Yr3'!N44</f>
        <v>0.1</v>
      </c>
      <c r="O44" s="115">
        <f>'Cash Flow %s Yr3'!O44</f>
        <v>0.1</v>
      </c>
      <c r="P44" s="115">
        <f>'Cash Flow %s Yr3'!P44</f>
        <v>0.1</v>
      </c>
      <c r="Q44" s="115">
        <f>'Cash Flow %s Yr3'!Q44</f>
        <v>0.1</v>
      </c>
      <c r="R44" s="115">
        <f>'Cash Flow %s Yr3'!R44</f>
        <v>0</v>
      </c>
      <c r="S44" s="111">
        <f t="shared" si="3"/>
        <v>0.99999999999999989</v>
      </c>
    </row>
    <row r="45" spans="1:19" s="31" customFormat="1" ht="18" x14ac:dyDescent="0.2">
      <c r="A45" s="47"/>
      <c r="B45" s="65" t="str">
        <f>'Revenue Input'!B41</f>
        <v>8984</v>
      </c>
      <c r="C45" s="65" t="str">
        <f>'Revenue Input'!C41</f>
        <v>Student Body (ASB) Fundraising Revenue</v>
      </c>
      <c r="D45" s="115">
        <f>'Cash Flow %s Yr3'!D45</f>
        <v>0</v>
      </c>
      <c r="E45" s="115">
        <f>'Cash Flow %s Yr3'!E45</f>
        <v>0</v>
      </c>
      <c r="F45" s="115">
        <f>'Cash Flow %s Yr3'!F45</f>
        <v>0.1</v>
      </c>
      <c r="G45" s="115">
        <f>'Cash Flow %s Yr3'!G45</f>
        <v>0.1</v>
      </c>
      <c r="H45" s="115">
        <f>'Cash Flow %s Yr3'!H45</f>
        <v>0.1</v>
      </c>
      <c r="I45" s="115">
        <f>'Cash Flow %s Yr3'!I45</f>
        <v>0.1</v>
      </c>
      <c r="J45" s="115">
        <f>'Cash Flow %s Yr3'!J45</f>
        <v>0.1</v>
      </c>
      <c r="K45" s="115">
        <f>'Cash Flow %s Yr3'!K45</f>
        <v>0.1</v>
      </c>
      <c r="L45" s="115">
        <f>'Cash Flow %s Yr3'!L45</f>
        <v>0.1</v>
      </c>
      <c r="M45" s="115">
        <f>'Cash Flow %s Yr3'!M45</f>
        <v>0.1</v>
      </c>
      <c r="N45" s="115">
        <f>'Cash Flow %s Yr3'!N45</f>
        <v>0.1</v>
      </c>
      <c r="O45" s="115">
        <f>'Cash Flow %s Yr3'!O45</f>
        <v>0.1</v>
      </c>
      <c r="P45" s="115">
        <f>'Cash Flow %s Yr3'!P45</f>
        <v>0</v>
      </c>
      <c r="Q45" s="115">
        <f>'Cash Flow %s Yr3'!Q45</f>
        <v>0</v>
      </c>
      <c r="R45" s="115">
        <f>'Cash Flow %s Yr3'!R45</f>
        <v>0</v>
      </c>
      <c r="S45" s="111">
        <f t="shared" si="3"/>
        <v>0.99999999999999989</v>
      </c>
    </row>
    <row r="46" spans="1:19" s="31" customFormat="1" ht="18" x14ac:dyDescent="0.2">
      <c r="A46" s="47"/>
      <c r="B46" s="65" t="str">
        <f>'Revenue Input'!B42</f>
        <v>8985</v>
      </c>
      <c r="C46" s="65" t="str">
        <f>'Revenue Input'!C42</f>
        <v>School Site Fundraising</v>
      </c>
      <c r="D46" s="115">
        <f>'Cash Flow %s Yr3'!D46</f>
        <v>0</v>
      </c>
      <c r="E46" s="115">
        <f>'Cash Flow %s Yr3'!E46</f>
        <v>0</v>
      </c>
      <c r="F46" s="115">
        <f>'Cash Flow %s Yr3'!F46</f>
        <v>0.1</v>
      </c>
      <c r="G46" s="115">
        <f>'Cash Flow %s Yr3'!G46</f>
        <v>0.1</v>
      </c>
      <c r="H46" s="115">
        <f>'Cash Flow %s Yr3'!H46</f>
        <v>0.1</v>
      </c>
      <c r="I46" s="115">
        <f>'Cash Flow %s Yr3'!I46</f>
        <v>0.1</v>
      </c>
      <c r="J46" s="115">
        <f>'Cash Flow %s Yr3'!J46</f>
        <v>0.1</v>
      </c>
      <c r="K46" s="115">
        <f>'Cash Flow %s Yr3'!K46</f>
        <v>0.1</v>
      </c>
      <c r="L46" s="115">
        <f>'Cash Flow %s Yr3'!L46</f>
        <v>0.1</v>
      </c>
      <c r="M46" s="115">
        <f>'Cash Flow %s Yr3'!M46</f>
        <v>0.1</v>
      </c>
      <c r="N46" s="115">
        <f>'Cash Flow %s Yr3'!N46</f>
        <v>0.1</v>
      </c>
      <c r="O46" s="115">
        <f>'Cash Flow %s Yr3'!O46</f>
        <v>0.1</v>
      </c>
      <c r="P46" s="115">
        <f>'Cash Flow %s Yr3'!P46</f>
        <v>0</v>
      </c>
      <c r="Q46" s="115">
        <f>'Cash Flow %s Yr3'!Q46</f>
        <v>0</v>
      </c>
      <c r="R46" s="115">
        <f>'Cash Flow %s Yr3'!R46</f>
        <v>0</v>
      </c>
      <c r="S46" s="111">
        <f>SUM(D46:R46)</f>
        <v>0.99999999999999989</v>
      </c>
    </row>
    <row r="47" spans="1:19" s="31" customFormat="1" ht="18" x14ac:dyDescent="0.2">
      <c r="A47" s="47"/>
      <c r="B47" s="65" t="str">
        <f>'Revenue Input'!B43</f>
        <v>8986</v>
      </c>
      <c r="C47" s="65" t="str">
        <f>'Revenue Input'!C43</f>
        <v>Rental Income</v>
      </c>
      <c r="D47" s="115">
        <f>'Cash Flow %s Yr3'!D47</f>
        <v>0</v>
      </c>
      <c r="E47" s="115">
        <f>'Cash Flow %s Yr3'!E47</f>
        <v>0</v>
      </c>
      <c r="F47" s="115">
        <f>'Cash Flow %s Yr3'!F47</f>
        <v>0.1</v>
      </c>
      <c r="G47" s="115">
        <f>'Cash Flow %s Yr3'!G47</f>
        <v>0.1</v>
      </c>
      <c r="H47" s="115">
        <f>'Cash Flow %s Yr3'!H47</f>
        <v>0.1</v>
      </c>
      <c r="I47" s="115">
        <f>'Cash Flow %s Yr3'!I47</f>
        <v>0.1</v>
      </c>
      <c r="J47" s="115">
        <f>'Cash Flow %s Yr3'!J47</f>
        <v>0.1</v>
      </c>
      <c r="K47" s="115">
        <f>'Cash Flow %s Yr3'!K47</f>
        <v>0.1</v>
      </c>
      <c r="L47" s="115">
        <f>'Cash Flow %s Yr3'!L47</f>
        <v>0.1</v>
      </c>
      <c r="M47" s="115">
        <f>'Cash Flow %s Yr3'!M47</f>
        <v>0.1</v>
      </c>
      <c r="N47" s="115">
        <f>'Cash Flow %s Yr3'!N47</f>
        <v>0.1</v>
      </c>
      <c r="O47" s="115">
        <f>'Cash Flow %s Yr3'!O47</f>
        <v>0.1</v>
      </c>
      <c r="P47" s="115">
        <f>'Cash Flow %s Yr3'!P47</f>
        <v>0</v>
      </c>
      <c r="Q47" s="115">
        <f>'Cash Flow %s Yr3'!Q47</f>
        <v>0</v>
      </c>
      <c r="R47" s="115">
        <f>'Cash Flow %s Yr3'!R47</f>
        <v>0</v>
      </c>
      <c r="S47" s="111">
        <f>SUM(D47:R47)</f>
        <v>0.99999999999999989</v>
      </c>
    </row>
    <row r="48" spans="1:19" s="31" customFormat="1" ht="18" x14ac:dyDescent="0.2">
      <c r="A48" s="47"/>
      <c r="B48" s="65" t="str">
        <f>'Revenue Input'!B44</f>
        <v>8989</v>
      </c>
      <c r="C48" s="65" t="str">
        <f>'Revenue Input'!C44</f>
        <v>Fees for Service</v>
      </c>
      <c r="D48" s="115">
        <f>'Cash Flow %s Yr3'!D48</f>
        <v>0</v>
      </c>
      <c r="E48" s="115">
        <f>'Cash Flow %s Yr3'!E48</f>
        <v>0</v>
      </c>
      <c r="F48" s="115">
        <f>'Cash Flow %s Yr3'!F48</f>
        <v>0.1</v>
      </c>
      <c r="G48" s="115">
        <f>'Cash Flow %s Yr3'!G48</f>
        <v>0.1</v>
      </c>
      <c r="H48" s="115">
        <f>'Cash Flow %s Yr3'!H48</f>
        <v>0.1</v>
      </c>
      <c r="I48" s="115">
        <f>'Cash Flow %s Yr3'!I48</f>
        <v>0.1</v>
      </c>
      <c r="J48" s="115">
        <f>'Cash Flow %s Yr3'!J48</f>
        <v>0.1</v>
      </c>
      <c r="K48" s="115">
        <f>'Cash Flow %s Yr3'!K48</f>
        <v>0.1</v>
      </c>
      <c r="L48" s="115">
        <f>'Cash Flow %s Yr3'!L48</f>
        <v>0.1</v>
      </c>
      <c r="M48" s="115">
        <f>'Cash Flow %s Yr3'!M48</f>
        <v>0.1</v>
      </c>
      <c r="N48" s="115">
        <f>'Cash Flow %s Yr3'!N48</f>
        <v>0.1</v>
      </c>
      <c r="O48" s="115">
        <f>'Cash Flow %s Yr3'!O48</f>
        <v>0.1</v>
      </c>
      <c r="P48" s="115">
        <f>'Cash Flow %s Yr3'!P48</f>
        <v>0</v>
      </c>
      <c r="Q48" s="115">
        <f>'Cash Flow %s Yr3'!Q48</f>
        <v>0</v>
      </c>
      <c r="R48" s="115">
        <f>'Cash Flow %s Yr3'!R48</f>
        <v>0</v>
      </c>
      <c r="S48" s="111">
        <f>SUM(D48:R48)</f>
        <v>0.99999999999999989</v>
      </c>
    </row>
    <row r="49" spans="1:19" s="31" customFormat="1" ht="18" x14ac:dyDescent="0.2">
      <c r="A49" s="47"/>
      <c r="B49" s="65" t="str">
        <f>'Revenue Input'!B45</f>
        <v>8999</v>
      </c>
      <c r="C49" s="65" t="str">
        <f>'Revenue Input'!C45</f>
        <v>Revenue Suspense</v>
      </c>
      <c r="D49" s="115">
        <f>'Cash Flow %s Yr3'!D49</f>
        <v>0</v>
      </c>
      <c r="E49" s="115">
        <f>'Cash Flow %s Yr3'!E49</f>
        <v>0</v>
      </c>
      <c r="F49" s="115">
        <f>'Cash Flow %s Yr3'!F49</f>
        <v>0.1</v>
      </c>
      <c r="G49" s="115">
        <f>'Cash Flow %s Yr3'!G49</f>
        <v>0.1</v>
      </c>
      <c r="H49" s="115">
        <f>'Cash Flow %s Yr3'!H49</f>
        <v>0.1</v>
      </c>
      <c r="I49" s="115">
        <f>'Cash Flow %s Yr3'!I49</f>
        <v>0.1</v>
      </c>
      <c r="J49" s="115">
        <f>'Cash Flow %s Yr3'!J49</f>
        <v>0.1</v>
      </c>
      <c r="K49" s="115">
        <f>'Cash Flow %s Yr3'!K49</f>
        <v>0.1</v>
      </c>
      <c r="L49" s="115">
        <f>'Cash Flow %s Yr3'!L49</f>
        <v>0.1</v>
      </c>
      <c r="M49" s="115">
        <f>'Cash Flow %s Yr3'!M49</f>
        <v>0.1</v>
      </c>
      <c r="N49" s="115">
        <f>'Cash Flow %s Yr3'!N49</f>
        <v>0.1</v>
      </c>
      <c r="O49" s="115">
        <f>'Cash Flow %s Yr3'!O49</f>
        <v>0.1</v>
      </c>
      <c r="P49" s="115">
        <f>'Cash Flow %s Yr3'!P49</f>
        <v>0</v>
      </c>
      <c r="Q49" s="115">
        <f>'Cash Flow %s Yr3'!Q49</f>
        <v>0</v>
      </c>
      <c r="R49" s="115">
        <f>'Cash Flow %s Yr3'!R49</f>
        <v>0</v>
      </c>
      <c r="S49" s="111">
        <f t="shared" si="3"/>
        <v>0.99999999999999989</v>
      </c>
    </row>
    <row r="50" spans="1:19" s="31" customFormat="1" ht="18" x14ac:dyDescent="0.2">
      <c r="A50" s="47"/>
      <c r="B50" s="72"/>
      <c r="C50" s="50"/>
      <c r="D50" s="119"/>
      <c r="E50" s="119"/>
      <c r="F50" s="119"/>
      <c r="G50" s="119"/>
      <c r="H50" s="119"/>
      <c r="I50" s="119"/>
      <c r="J50" s="119"/>
      <c r="K50" s="119"/>
      <c r="L50" s="119"/>
      <c r="M50" s="119"/>
      <c r="N50" s="119"/>
      <c r="O50" s="119"/>
      <c r="P50" s="100"/>
      <c r="Q50" s="100"/>
      <c r="R50" s="100"/>
      <c r="S50" s="111"/>
    </row>
    <row r="51" spans="1:19" s="31" customFormat="1" ht="18" x14ac:dyDescent="0.2">
      <c r="A51" s="47"/>
      <c r="B51" s="72"/>
      <c r="C51" s="50"/>
      <c r="D51" s="119"/>
      <c r="E51" s="119"/>
      <c r="F51" s="119"/>
      <c r="G51" s="119"/>
      <c r="H51" s="119"/>
      <c r="I51" s="119"/>
      <c r="J51" s="119"/>
      <c r="K51" s="119"/>
      <c r="L51" s="119"/>
      <c r="M51" s="119"/>
      <c r="N51" s="119"/>
      <c r="O51" s="119"/>
      <c r="P51" s="100"/>
      <c r="Q51" s="100"/>
      <c r="R51" s="100"/>
      <c r="S51" s="111"/>
    </row>
    <row r="52" spans="1:19" s="31" customFormat="1" ht="18" x14ac:dyDescent="0.2">
      <c r="A52" s="47"/>
      <c r="B52" s="72"/>
      <c r="C52" s="50"/>
      <c r="D52" s="100"/>
      <c r="E52" s="100"/>
      <c r="F52" s="100"/>
      <c r="G52" s="100"/>
      <c r="H52" s="100"/>
      <c r="I52" s="100"/>
      <c r="J52" s="100"/>
      <c r="K52" s="100"/>
      <c r="L52" s="100"/>
      <c r="M52" s="100"/>
      <c r="N52" s="100"/>
      <c r="O52" s="100"/>
      <c r="P52" s="100"/>
      <c r="Q52" s="100"/>
      <c r="R52" s="100"/>
      <c r="S52" s="111"/>
    </row>
    <row r="53" spans="1:19" s="31" customFormat="1" ht="18" x14ac:dyDescent="0.2">
      <c r="A53" s="47" t="s">
        <v>802</v>
      </c>
      <c r="B53" s="73"/>
      <c r="C53" s="34"/>
      <c r="D53" s="101"/>
      <c r="E53" s="101"/>
      <c r="F53" s="101"/>
      <c r="G53" s="101"/>
      <c r="H53" s="101"/>
      <c r="I53" s="101"/>
      <c r="J53" s="101"/>
      <c r="K53" s="101"/>
      <c r="L53" s="101"/>
      <c r="M53" s="101"/>
      <c r="N53" s="101"/>
      <c r="O53" s="101"/>
      <c r="P53" s="101"/>
      <c r="Q53" s="101"/>
      <c r="R53" s="101"/>
      <c r="S53" s="111"/>
    </row>
    <row r="54" spans="1:19" x14ac:dyDescent="0.2">
      <c r="A54" s="1"/>
      <c r="B54" s="34" t="s">
        <v>733</v>
      </c>
      <c r="C54" s="3"/>
      <c r="S54" s="182"/>
    </row>
    <row r="55" spans="1:19" x14ac:dyDescent="0.2">
      <c r="A55" s="36"/>
      <c r="B55" s="67" t="str">
        <f>'Expenses Summary'!B8</f>
        <v>1100</v>
      </c>
      <c r="C55" s="67" t="str">
        <f>'Expenses Summary'!C8</f>
        <v>Teachers'  Salaries</v>
      </c>
      <c r="D55" s="112">
        <f>'Cash Flow %s Yr3'!D55</f>
        <v>8.3000000000000004E-2</v>
      </c>
      <c r="E55" s="112">
        <f>'Cash Flow %s Yr3'!E55</f>
        <v>8.3000000000000004E-2</v>
      </c>
      <c r="F55" s="112">
        <f>'Cash Flow %s Yr3'!F55</f>
        <v>8.3000000000000004E-2</v>
      </c>
      <c r="G55" s="112">
        <f>'Cash Flow %s Yr3'!G55</f>
        <v>8.3000000000000004E-2</v>
      </c>
      <c r="H55" s="112">
        <f>'Cash Flow %s Yr3'!H55</f>
        <v>8.3000000000000004E-2</v>
      </c>
      <c r="I55" s="112">
        <f>'Cash Flow %s Yr3'!I55</f>
        <v>8.3000000000000004E-2</v>
      </c>
      <c r="J55" s="112">
        <f>'Cash Flow %s Yr3'!J55</f>
        <v>8.3000000000000004E-2</v>
      </c>
      <c r="K55" s="112">
        <f>'Cash Flow %s Yr3'!K55</f>
        <v>8.3000000000000004E-2</v>
      </c>
      <c r="L55" s="112">
        <f>'Cash Flow %s Yr3'!L55</f>
        <v>8.4000000000000005E-2</v>
      </c>
      <c r="M55" s="112">
        <f>'Cash Flow %s Yr3'!M55</f>
        <v>8.4000000000000005E-2</v>
      </c>
      <c r="N55" s="112">
        <f>'Cash Flow %s Yr3'!N55</f>
        <v>8.4000000000000005E-2</v>
      </c>
      <c r="O55" s="112">
        <f>'Cash Flow %s Yr3'!O55</f>
        <v>8.4000000000000005E-2</v>
      </c>
      <c r="P55" s="112">
        <f>'Cash Flow %s Yr3'!P55</f>
        <v>0</v>
      </c>
      <c r="Q55" s="112">
        <f>'Cash Flow %s Yr3'!Q55</f>
        <v>0</v>
      </c>
      <c r="R55" s="112">
        <f>'Cash Flow %s Yr3'!R55</f>
        <v>0</v>
      </c>
      <c r="S55" s="111">
        <f t="shared" ref="S55:S62" si="4">SUM(D55:R55)</f>
        <v>0.99999999999999989</v>
      </c>
    </row>
    <row r="56" spans="1:19" x14ac:dyDescent="0.2">
      <c r="A56" s="36"/>
      <c r="B56" s="67" t="str">
        <f>'Expenses Summary'!B9</f>
        <v>1105</v>
      </c>
      <c r="C56" s="67" t="str">
        <f>'Expenses Summary'!C9</f>
        <v>Teachers'  Bonuses</v>
      </c>
      <c r="D56" s="112">
        <f>'Cash Flow %s Yr3'!D56</f>
        <v>0</v>
      </c>
      <c r="E56" s="112">
        <f>'Cash Flow %s Yr3'!E56</f>
        <v>0</v>
      </c>
      <c r="F56" s="112">
        <f>'Cash Flow %s Yr3'!F56</f>
        <v>0</v>
      </c>
      <c r="G56" s="112">
        <f>'Cash Flow %s Yr3'!G56</f>
        <v>0</v>
      </c>
      <c r="H56" s="112">
        <f>'Cash Flow %s Yr3'!H56</f>
        <v>0</v>
      </c>
      <c r="I56" s="112">
        <f>'Cash Flow %s Yr3'!I56</f>
        <v>1</v>
      </c>
      <c r="J56" s="112">
        <f>'Cash Flow %s Yr3'!J56</f>
        <v>0</v>
      </c>
      <c r="K56" s="112">
        <f>'Cash Flow %s Yr3'!K56</f>
        <v>0</v>
      </c>
      <c r="L56" s="112">
        <f>'Cash Flow %s Yr3'!L56</f>
        <v>0</v>
      </c>
      <c r="M56" s="112">
        <f>'Cash Flow %s Yr3'!M56</f>
        <v>0</v>
      </c>
      <c r="N56" s="112">
        <f>'Cash Flow %s Yr3'!N56</f>
        <v>0</v>
      </c>
      <c r="O56" s="112">
        <f>'Cash Flow %s Yr3'!O56</f>
        <v>0</v>
      </c>
      <c r="P56" s="112">
        <f>'Cash Flow %s Yr3'!P56</f>
        <v>0</v>
      </c>
      <c r="Q56" s="112">
        <f>'Cash Flow %s Yr3'!Q56</f>
        <v>0</v>
      </c>
      <c r="R56" s="112">
        <f>'Cash Flow %s Yr3'!R56</f>
        <v>0</v>
      </c>
      <c r="S56" s="111">
        <f t="shared" si="4"/>
        <v>1</v>
      </c>
    </row>
    <row r="57" spans="1:19" x14ac:dyDescent="0.2">
      <c r="A57" s="36"/>
      <c r="B57" s="67" t="str">
        <f>'Expenses Summary'!B10</f>
        <v>1120</v>
      </c>
      <c r="C57" s="67" t="str">
        <f>'Expenses Summary'!C10</f>
        <v>Substitute Expense</v>
      </c>
      <c r="D57" s="112">
        <f>'Cash Flow %s Yr3'!D57</f>
        <v>0</v>
      </c>
      <c r="E57" s="112">
        <f>'Cash Flow %s Yr3'!E57</f>
        <v>0</v>
      </c>
      <c r="F57" s="112">
        <f>'Cash Flow %s Yr3'!F57</f>
        <v>0.1</v>
      </c>
      <c r="G57" s="112">
        <f>'Cash Flow %s Yr3'!G57</f>
        <v>0.1</v>
      </c>
      <c r="H57" s="112">
        <f>'Cash Flow %s Yr3'!H57</f>
        <v>0.1</v>
      </c>
      <c r="I57" s="112">
        <f>'Cash Flow %s Yr3'!I57</f>
        <v>0.1</v>
      </c>
      <c r="J57" s="112">
        <f>'Cash Flow %s Yr3'!J57</f>
        <v>0.1</v>
      </c>
      <c r="K57" s="112">
        <f>'Cash Flow %s Yr3'!K57</f>
        <v>0.1</v>
      </c>
      <c r="L57" s="112">
        <f>'Cash Flow %s Yr3'!L57</f>
        <v>0.1</v>
      </c>
      <c r="M57" s="112">
        <f>'Cash Flow %s Yr3'!M57</f>
        <v>0.1</v>
      </c>
      <c r="N57" s="112">
        <f>'Cash Flow %s Yr3'!N57</f>
        <v>0.1</v>
      </c>
      <c r="O57" s="112">
        <f>'Cash Flow %s Yr3'!O57</f>
        <v>0.1</v>
      </c>
      <c r="P57" s="112">
        <f>'Cash Flow %s Yr3'!P57</f>
        <v>0</v>
      </c>
      <c r="Q57" s="112">
        <f>'Cash Flow %s Yr3'!Q57</f>
        <v>0</v>
      </c>
      <c r="R57" s="112">
        <f>'Cash Flow %s Yr3'!R57</f>
        <v>0</v>
      </c>
      <c r="S57" s="111">
        <f t="shared" si="4"/>
        <v>0.99999999999999989</v>
      </c>
    </row>
    <row r="58" spans="1:19" x14ac:dyDescent="0.2">
      <c r="A58" s="36"/>
      <c r="B58" s="67" t="str">
        <f>'Expenses Summary'!B11</f>
        <v>1200</v>
      </c>
      <c r="C58" s="67" t="str">
        <f>'Expenses Summary'!C11</f>
        <v>Certificated Pupil Support Salaries</v>
      </c>
      <c r="D58" s="112">
        <f>'Cash Flow %s Yr3'!D58</f>
        <v>0</v>
      </c>
      <c r="E58" s="112">
        <f>'Cash Flow %s Yr3'!E58</f>
        <v>0</v>
      </c>
      <c r="F58" s="112">
        <f>'Cash Flow %s Yr3'!F58</f>
        <v>0.1</v>
      </c>
      <c r="G58" s="112">
        <f>'Cash Flow %s Yr3'!G58</f>
        <v>0.1</v>
      </c>
      <c r="H58" s="112">
        <f>'Cash Flow %s Yr3'!H58</f>
        <v>0.1</v>
      </c>
      <c r="I58" s="112">
        <f>'Cash Flow %s Yr3'!I58</f>
        <v>0.1</v>
      </c>
      <c r="J58" s="112">
        <f>'Cash Flow %s Yr3'!J58</f>
        <v>0.1</v>
      </c>
      <c r="K58" s="112">
        <f>'Cash Flow %s Yr3'!K58</f>
        <v>0.1</v>
      </c>
      <c r="L58" s="112">
        <f>'Cash Flow %s Yr3'!L58</f>
        <v>0.1</v>
      </c>
      <c r="M58" s="112">
        <f>'Cash Flow %s Yr3'!M58</f>
        <v>0.1</v>
      </c>
      <c r="N58" s="112">
        <f>'Cash Flow %s Yr3'!N58</f>
        <v>0.1</v>
      </c>
      <c r="O58" s="112">
        <f>'Cash Flow %s Yr3'!O58</f>
        <v>0.1</v>
      </c>
      <c r="P58" s="112">
        <f>'Cash Flow %s Yr3'!P58</f>
        <v>0</v>
      </c>
      <c r="Q58" s="112">
        <f>'Cash Flow %s Yr3'!Q58</f>
        <v>0</v>
      </c>
      <c r="R58" s="112">
        <f>'Cash Flow %s Yr3'!R58</f>
        <v>0</v>
      </c>
      <c r="S58" s="111">
        <f t="shared" si="4"/>
        <v>0.99999999999999989</v>
      </c>
    </row>
    <row r="59" spans="1:19" x14ac:dyDescent="0.2">
      <c r="A59" s="36"/>
      <c r="B59" s="67" t="str">
        <f>'Expenses Summary'!B13</f>
        <v>1300</v>
      </c>
      <c r="C59" s="67" t="str">
        <f>'Expenses Summary'!C13</f>
        <v>Certificated Supervisor and Administrator Salaries</v>
      </c>
      <c r="D59" s="112">
        <f>'Cash Flow %s Yr3'!D59</f>
        <v>8.3000000000000004E-2</v>
      </c>
      <c r="E59" s="112">
        <f>'Cash Flow %s Yr3'!E59</f>
        <v>8.3000000000000004E-2</v>
      </c>
      <c r="F59" s="112">
        <f>'Cash Flow %s Yr3'!F59</f>
        <v>8.3000000000000004E-2</v>
      </c>
      <c r="G59" s="112">
        <f>'Cash Flow %s Yr3'!G59</f>
        <v>8.3000000000000004E-2</v>
      </c>
      <c r="H59" s="112">
        <f>'Cash Flow %s Yr3'!H59</f>
        <v>8.3000000000000004E-2</v>
      </c>
      <c r="I59" s="112">
        <f>'Cash Flow %s Yr3'!I59</f>
        <v>8.3000000000000004E-2</v>
      </c>
      <c r="J59" s="112">
        <f>'Cash Flow %s Yr3'!J59</f>
        <v>8.3000000000000004E-2</v>
      </c>
      <c r="K59" s="112">
        <f>'Cash Flow %s Yr3'!K59</f>
        <v>8.3000000000000004E-2</v>
      </c>
      <c r="L59" s="112">
        <f>'Cash Flow %s Yr3'!L59</f>
        <v>8.4000000000000005E-2</v>
      </c>
      <c r="M59" s="112">
        <f>'Cash Flow %s Yr3'!M59</f>
        <v>8.4000000000000005E-2</v>
      </c>
      <c r="N59" s="112">
        <f>'Cash Flow %s Yr3'!N59</f>
        <v>8.4000000000000005E-2</v>
      </c>
      <c r="O59" s="112">
        <f>'Cash Flow %s Yr3'!O59</f>
        <v>8.4000000000000005E-2</v>
      </c>
      <c r="P59" s="112">
        <f>'Cash Flow %s Yr3'!P59</f>
        <v>0</v>
      </c>
      <c r="Q59" s="112">
        <f>'Cash Flow %s Yr3'!Q59</f>
        <v>0</v>
      </c>
      <c r="R59" s="112">
        <f>'Cash Flow %s Yr3'!R59</f>
        <v>0</v>
      </c>
      <c r="S59" s="111">
        <f t="shared" si="4"/>
        <v>0.99999999999999989</v>
      </c>
    </row>
    <row r="60" spans="1:19" x14ac:dyDescent="0.2">
      <c r="A60" s="36"/>
      <c r="B60" s="67" t="str">
        <f>'Expenses Summary'!B14</f>
        <v>1305</v>
      </c>
      <c r="C60" s="67" t="str">
        <f>'Expenses Summary'!C14</f>
        <v>Certificated Supervisor and Administrator Bonuses</v>
      </c>
      <c r="D60" s="112">
        <f>'Cash Flow %s Yr3'!D60</f>
        <v>0</v>
      </c>
      <c r="E60" s="112">
        <f>'Cash Flow %s Yr3'!E60</f>
        <v>0</v>
      </c>
      <c r="F60" s="112">
        <f>'Cash Flow %s Yr3'!F60</f>
        <v>0</v>
      </c>
      <c r="G60" s="112">
        <f>'Cash Flow %s Yr3'!G60</f>
        <v>0</v>
      </c>
      <c r="H60" s="112">
        <f>'Cash Flow %s Yr3'!H60</f>
        <v>0</v>
      </c>
      <c r="I60" s="112">
        <f>'Cash Flow %s Yr3'!I60</f>
        <v>1</v>
      </c>
      <c r="J60" s="112">
        <f>'Cash Flow %s Yr3'!J60</f>
        <v>0</v>
      </c>
      <c r="K60" s="112">
        <f>'Cash Flow %s Yr3'!K60</f>
        <v>0</v>
      </c>
      <c r="L60" s="112">
        <f>'Cash Flow %s Yr3'!L60</f>
        <v>0</v>
      </c>
      <c r="M60" s="112">
        <f>'Cash Flow %s Yr3'!M60</f>
        <v>0</v>
      </c>
      <c r="N60" s="112">
        <f>'Cash Flow %s Yr3'!N60</f>
        <v>0</v>
      </c>
      <c r="O60" s="112">
        <f>'Cash Flow %s Yr3'!O60</f>
        <v>0</v>
      </c>
      <c r="P60" s="112">
        <f>'Cash Flow %s Yr3'!P60</f>
        <v>0</v>
      </c>
      <c r="Q60" s="112">
        <f>'Cash Flow %s Yr3'!Q60</f>
        <v>0</v>
      </c>
      <c r="R60" s="112">
        <f>'Cash Flow %s Yr3'!R60</f>
        <v>0</v>
      </c>
      <c r="S60" s="111">
        <f t="shared" si="4"/>
        <v>1</v>
      </c>
    </row>
    <row r="61" spans="1:19" x14ac:dyDescent="0.2">
      <c r="A61" s="36"/>
      <c r="B61" s="67" t="str">
        <f>'Expenses Summary'!B15</f>
        <v>1900</v>
      </c>
      <c r="C61" s="67" t="str">
        <f>'Expenses Summary'!C15</f>
        <v>Other Certificated Salaries</v>
      </c>
      <c r="D61" s="112">
        <f>'Cash Flow %s Yr3'!D61</f>
        <v>0</v>
      </c>
      <c r="E61" s="112">
        <f>'Cash Flow %s Yr3'!E61</f>
        <v>9.1666666666666702E-2</v>
      </c>
      <c r="F61" s="112">
        <f>'Cash Flow %s Yr3'!F61</f>
        <v>9.1666666666666702E-2</v>
      </c>
      <c r="G61" s="112">
        <f>'Cash Flow %s Yr3'!G61</f>
        <v>9.1666666666666702E-2</v>
      </c>
      <c r="H61" s="112">
        <f>'Cash Flow %s Yr3'!H61</f>
        <v>9.1666666666666702E-2</v>
      </c>
      <c r="I61" s="112">
        <f>'Cash Flow %s Yr3'!I61</f>
        <v>9.1666666666666702E-2</v>
      </c>
      <c r="J61" s="112">
        <f>'Cash Flow %s Yr3'!J61</f>
        <v>9.1666666666666702E-2</v>
      </c>
      <c r="K61" s="112">
        <f>'Cash Flow %s Yr3'!K61</f>
        <v>9.1666666666666702E-2</v>
      </c>
      <c r="L61" s="112">
        <f>'Cash Flow %s Yr3'!L61</f>
        <v>9.1666666666666702E-2</v>
      </c>
      <c r="M61" s="112">
        <f>'Cash Flow %s Yr3'!M61</f>
        <v>9.1666666666666702E-2</v>
      </c>
      <c r="N61" s="112">
        <f>'Cash Flow %s Yr3'!N61</f>
        <v>9.1666666666666702E-2</v>
      </c>
      <c r="O61" s="112">
        <f>'Cash Flow %s Yr3'!O61</f>
        <v>8.3333333332999998E-2</v>
      </c>
      <c r="P61" s="112">
        <f>'Cash Flow %s Yr3'!P61</f>
        <v>0</v>
      </c>
      <c r="Q61" s="112">
        <f>'Cash Flow %s Yr3'!Q61</f>
        <v>0</v>
      </c>
      <c r="R61" s="112">
        <f>'Cash Flow %s Yr3'!R61</f>
        <v>0</v>
      </c>
      <c r="S61" s="111">
        <f t="shared" si="4"/>
        <v>0.99999999999966682</v>
      </c>
    </row>
    <row r="62" spans="1:19" x14ac:dyDescent="0.2">
      <c r="A62" s="36"/>
      <c r="B62" s="67" t="str">
        <f>'Expenses Summary'!B16</f>
        <v>1910</v>
      </c>
      <c r="C62" s="67" t="str">
        <f>'Expenses Summary'!C16</f>
        <v>Other Certificated Overtime</v>
      </c>
      <c r="D62" s="112">
        <f>'Cash Flow %s Yr3'!D62</f>
        <v>0</v>
      </c>
      <c r="E62" s="112">
        <f>'Cash Flow %s Yr3'!E62</f>
        <v>9.1666666666666702E-2</v>
      </c>
      <c r="F62" s="112">
        <f>'Cash Flow %s Yr3'!F62</f>
        <v>9.1666666666666702E-2</v>
      </c>
      <c r="G62" s="112">
        <f>'Cash Flow %s Yr3'!G62</f>
        <v>9.1666666666666702E-2</v>
      </c>
      <c r="H62" s="112">
        <f>'Cash Flow %s Yr3'!H62</f>
        <v>9.1666666666666702E-2</v>
      </c>
      <c r="I62" s="112">
        <f>'Cash Flow %s Yr3'!I62</f>
        <v>9.1666666666666702E-2</v>
      </c>
      <c r="J62" s="112">
        <f>'Cash Flow %s Yr3'!J62</f>
        <v>9.1666666666666702E-2</v>
      </c>
      <c r="K62" s="112">
        <f>'Cash Flow %s Yr3'!K62</f>
        <v>9.1666666666666702E-2</v>
      </c>
      <c r="L62" s="112">
        <f>'Cash Flow %s Yr3'!L62</f>
        <v>9.1666666666666702E-2</v>
      </c>
      <c r="M62" s="112">
        <f>'Cash Flow %s Yr3'!M62</f>
        <v>9.1666666666666702E-2</v>
      </c>
      <c r="N62" s="112">
        <f>'Cash Flow %s Yr3'!N62</f>
        <v>9.1666666666666702E-2</v>
      </c>
      <c r="O62" s="112">
        <f>'Cash Flow %s Yr3'!O62</f>
        <v>8.3333333332999998E-2</v>
      </c>
      <c r="P62" s="112">
        <f>'Cash Flow %s Yr3'!P62</f>
        <v>0</v>
      </c>
      <c r="Q62" s="112">
        <f>'Cash Flow %s Yr3'!Q62</f>
        <v>0</v>
      </c>
      <c r="R62" s="112">
        <f>'Cash Flow %s Yr3'!R62</f>
        <v>0</v>
      </c>
      <c r="S62" s="111">
        <f t="shared" si="4"/>
        <v>0.99999999999966682</v>
      </c>
    </row>
    <row r="63" spans="1:19" x14ac:dyDescent="0.2">
      <c r="A63" s="36"/>
      <c r="B63" s="88"/>
      <c r="C63" s="93"/>
      <c r="D63" s="100"/>
      <c r="E63" s="100"/>
      <c r="F63" s="119"/>
      <c r="G63" s="119"/>
      <c r="H63" s="119"/>
      <c r="I63" s="119"/>
      <c r="J63" s="119"/>
      <c r="K63" s="119"/>
      <c r="L63" s="119"/>
      <c r="M63" s="119"/>
      <c r="N63" s="119"/>
      <c r="O63" s="119"/>
      <c r="P63" s="100"/>
      <c r="Q63" s="100"/>
      <c r="R63" s="100"/>
      <c r="S63" s="111"/>
    </row>
    <row r="64" spans="1:19" s="31" customFormat="1" x14ac:dyDescent="0.2">
      <c r="A64" s="36"/>
      <c r="B64" s="40"/>
      <c r="C64" s="3"/>
      <c r="D64" s="102"/>
      <c r="E64" s="102"/>
      <c r="F64" s="102"/>
      <c r="G64" s="102"/>
      <c r="H64" s="102"/>
      <c r="I64" s="102"/>
      <c r="J64" s="102"/>
      <c r="K64" s="102"/>
      <c r="L64" s="102"/>
      <c r="M64" s="102"/>
      <c r="N64" s="102"/>
      <c r="O64" s="102"/>
      <c r="P64" s="102"/>
      <c r="Q64" s="102"/>
      <c r="R64" s="102"/>
      <c r="S64" s="111"/>
    </row>
    <row r="65" spans="1:19" s="31" customFormat="1" x14ac:dyDescent="0.2">
      <c r="B65" s="5" t="s">
        <v>734</v>
      </c>
      <c r="C65" s="3"/>
      <c r="D65" s="102"/>
      <c r="E65" s="102"/>
      <c r="F65" s="102"/>
      <c r="G65" s="102"/>
      <c r="H65" s="102"/>
      <c r="I65" s="102"/>
      <c r="J65" s="102"/>
      <c r="K65" s="102"/>
      <c r="L65" s="102"/>
      <c r="M65" s="102"/>
      <c r="N65" s="102"/>
      <c r="O65" s="102"/>
      <c r="P65" s="102"/>
      <c r="Q65" s="102"/>
      <c r="R65" s="102"/>
      <c r="S65" s="111"/>
    </row>
    <row r="66" spans="1:19" s="31" customFormat="1" x14ac:dyDescent="0.2">
      <c r="A66" s="36"/>
      <c r="B66" s="67" t="str">
        <f>'Expenses Summary'!B20</f>
        <v>2100</v>
      </c>
      <c r="C66" s="67" t="str">
        <f>'Expenses Summary'!C20</f>
        <v>Instructional Aide Salaries</v>
      </c>
      <c r="D66" s="112">
        <f>'Cash Flow %s Yr3'!D66</f>
        <v>0</v>
      </c>
      <c r="E66" s="112">
        <f>'Cash Flow %s Yr3'!E66</f>
        <v>0</v>
      </c>
      <c r="F66" s="112">
        <f>'Cash Flow %s Yr3'!F66</f>
        <v>0.1</v>
      </c>
      <c r="G66" s="112">
        <f>'Cash Flow %s Yr3'!G66</f>
        <v>0.1</v>
      </c>
      <c r="H66" s="112">
        <f>'Cash Flow %s Yr3'!H66</f>
        <v>0.1</v>
      </c>
      <c r="I66" s="112">
        <f>'Cash Flow %s Yr3'!I66</f>
        <v>0.1</v>
      </c>
      <c r="J66" s="112">
        <f>'Cash Flow %s Yr3'!J66</f>
        <v>0.1</v>
      </c>
      <c r="K66" s="112">
        <f>'Cash Flow %s Yr3'!K66</f>
        <v>0.1</v>
      </c>
      <c r="L66" s="112">
        <f>'Cash Flow %s Yr3'!L66</f>
        <v>0.1</v>
      </c>
      <c r="M66" s="112">
        <f>'Cash Flow %s Yr3'!M66</f>
        <v>0.1</v>
      </c>
      <c r="N66" s="112">
        <f>'Cash Flow %s Yr3'!N66</f>
        <v>0.1</v>
      </c>
      <c r="O66" s="112">
        <f>'Cash Flow %s Yr3'!O66</f>
        <v>0.1</v>
      </c>
      <c r="P66" s="112">
        <f>'Cash Flow %s Yr3'!P66</f>
        <v>0</v>
      </c>
      <c r="Q66" s="112">
        <f>'Cash Flow %s Yr3'!Q66</f>
        <v>0</v>
      </c>
      <c r="R66" s="112">
        <f>'Cash Flow %s Yr3'!R66</f>
        <v>0</v>
      </c>
      <c r="S66" s="111">
        <f t="shared" ref="S66:S75" si="5">SUM(D66:R66)</f>
        <v>0.99999999999999989</v>
      </c>
    </row>
    <row r="67" spans="1:19" s="31" customFormat="1" x14ac:dyDescent="0.2">
      <c r="A67" s="36"/>
      <c r="B67" s="67" t="str">
        <f>'Expenses Summary'!B21</f>
        <v>2110</v>
      </c>
      <c r="C67" s="67" t="str">
        <f>'Expenses Summary'!C21</f>
        <v>Instructional Aide Overtime</v>
      </c>
      <c r="D67" s="112">
        <f>'Cash Flow %s Yr3'!D67</f>
        <v>0</v>
      </c>
      <c r="E67" s="112">
        <f>'Cash Flow %s Yr3'!E67</f>
        <v>0</v>
      </c>
      <c r="F67" s="112">
        <f>'Cash Flow %s Yr3'!F67</f>
        <v>0.1</v>
      </c>
      <c r="G67" s="112">
        <f>'Cash Flow %s Yr3'!G67</f>
        <v>0.1</v>
      </c>
      <c r="H67" s="112">
        <f>'Cash Flow %s Yr3'!H67</f>
        <v>0.1</v>
      </c>
      <c r="I67" s="112">
        <f>'Cash Flow %s Yr3'!I67</f>
        <v>0.1</v>
      </c>
      <c r="J67" s="112">
        <f>'Cash Flow %s Yr3'!J67</f>
        <v>0.1</v>
      </c>
      <c r="K67" s="112">
        <f>'Cash Flow %s Yr3'!K67</f>
        <v>0.1</v>
      </c>
      <c r="L67" s="112">
        <f>'Cash Flow %s Yr3'!L67</f>
        <v>0.1</v>
      </c>
      <c r="M67" s="112">
        <f>'Cash Flow %s Yr3'!M67</f>
        <v>0.1</v>
      </c>
      <c r="N67" s="112">
        <f>'Cash Flow %s Yr3'!N67</f>
        <v>0.1</v>
      </c>
      <c r="O67" s="112">
        <f>'Cash Flow %s Yr3'!O67</f>
        <v>0.1</v>
      </c>
      <c r="P67" s="112">
        <f>'Cash Flow %s Yr3'!P67</f>
        <v>0</v>
      </c>
      <c r="Q67" s="112">
        <f>'Cash Flow %s Yr3'!Q67</f>
        <v>0</v>
      </c>
      <c r="R67" s="112">
        <f>'Cash Flow %s Yr3'!R67</f>
        <v>0</v>
      </c>
      <c r="S67" s="111">
        <f t="shared" si="5"/>
        <v>0.99999999999999989</v>
      </c>
    </row>
    <row r="68" spans="1:19" s="31" customFormat="1" x14ac:dyDescent="0.2">
      <c r="A68" s="36"/>
      <c r="B68" s="67" t="str">
        <f>'Expenses Summary'!B22</f>
        <v>2200</v>
      </c>
      <c r="C68" s="67" t="str">
        <f>'Expenses Summary'!C22</f>
        <v>Classified Support Salaries</v>
      </c>
      <c r="D68" s="112">
        <f>'Cash Flow %s Yr3'!D68</f>
        <v>0</v>
      </c>
      <c r="E68" s="112">
        <f>'Cash Flow %s Yr3'!E68</f>
        <v>0</v>
      </c>
      <c r="F68" s="112">
        <f>'Cash Flow %s Yr3'!F68</f>
        <v>0.1</v>
      </c>
      <c r="G68" s="112">
        <f>'Cash Flow %s Yr3'!G68</f>
        <v>0.1</v>
      </c>
      <c r="H68" s="112">
        <f>'Cash Flow %s Yr3'!H68</f>
        <v>0.1</v>
      </c>
      <c r="I68" s="112">
        <f>'Cash Flow %s Yr3'!I68</f>
        <v>0.1</v>
      </c>
      <c r="J68" s="112">
        <f>'Cash Flow %s Yr3'!J68</f>
        <v>0.1</v>
      </c>
      <c r="K68" s="112">
        <f>'Cash Flow %s Yr3'!K68</f>
        <v>0.1</v>
      </c>
      <c r="L68" s="112">
        <f>'Cash Flow %s Yr3'!L68</f>
        <v>0.1</v>
      </c>
      <c r="M68" s="112">
        <f>'Cash Flow %s Yr3'!M68</f>
        <v>0.1</v>
      </c>
      <c r="N68" s="112">
        <f>'Cash Flow %s Yr3'!N68</f>
        <v>0.1</v>
      </c>
      <c r="O68" s="112">
        <f>'Cash Flow %s Yr3'!O68</f>
        <v>0.1</v>
      </c>
      <c r="P68" s="112">
        <f>'Cash Flow %s Yr3'!P68</f>
        <v>0</v>
      </c>
      <c r="Q68" s="112">
        <f>'Cash Flow %s Yr3'!Q68</f>
        <v>0</v>
      </c>
      <c r="R68" s="112">
        <f>'Cash Flow %s Yr3'!R68</f>
        <v>0</v>
      </c>
      <c r="S68" s="111">
        <f t="shared" si="5"/>
        <v>0.99999999999999989</v>
      </c>
    </row>
    <row r="69" spans="1:19" s="31" customFormat="1" x14ac:dyDescent="0.2">
      <c r="A69" s="36"/>
      <c r="B69" s="67" t="str">
        <f>'Expenses Summary'!B23</f>
        <v>2210</v>
      </c>
      <c r="C69" s="67" t="str">
        <f>'Expenses Summary'!C23</f>
        <v>Classified Support Overtime</v>
      </c>
      <c r="D69" s="112">
        <f>'Cash Flow %s Yr3'!D69</f>
        <v>0</v>
      </c>
      <c r="E69" s="112">
        <f>'Cash Flow %s Yr3'!E69</f>
        <v>0</v>
      </c>
      <c r="F69" s="112">
        <f>'Cash Flow %s Yr3'!F69</f>
        <v>0.1</v>
      </c>
      <c r="G69" s="112">
        <f>'Cash Flow %s Yr3'!G69</f>
        <v>0.1</v>
      </c>
      <c r="H69" s="112">
        <f>'Cash Flow %s Yr3'!H69</f>
        <v>0.1</v>
      </c>
      <c r="I69" s="112">
        <f>'Cash Flow %s Yr3'!I69</f>
        <v>0.1</v>
      </c>
      <c r="J69" s="112">
        <f>'Cash Flow %s Yr3'!J69</f>
        <v>0.1</v>
      </c>
      <c r="K69" s="112">
        <f>'Cash Flow %s Yr3'!K69</f>
        <v>0.1</v>
      </c>
      <c r="L69" s="112">
        <f>'Cash Flow %s Yr3'!L69</f>
        <v>0.1</v>
      </c>
      <c r="M69" s="112">
        <f>'Cash Flow %s Yr3'!M69</f>
        <v>0.1</v>
      </c>
      <c r="N69" s="112">
        <f>'Cash Flow %s Yr3'!N69</f>
        <v>0.1</v>
      </c>
      <c r="O69" s="112">
        <f>'Cash Flow %s Yr3'!O69</f>
        <v>0.1</v>
      </c>
      <c r="P69" s="112">
        <f>'Cash Flow %s Yr3'!P69</f>
        <v>0</v>
      </c>
      <c r="Q69" s="112">
        <f>'Cash Flow %s Yr3'!Q69</f>
        <v>0</v>
      </c>
      <c r="R69" s="112">
        <f>'Cash Flow %s Yr3'!R69</f>
        <v>0</v>
      </c>
      <c r="S69" s="111">
        <f t="shared" si="5"/>
        <v>0.99999999999999989</v>
      </c>
    </row>
    <row r="70" spans="1:19" s="31" customFormat="1" x14ac:dyDescent="0.2">
      <c r="A70" s="36"/>
      <c r="B70" s="67" t="str">
        <f>'Expenses Summary'!B24</f>
        <v>2300</v>
      </c>
      <c r="C70" s="67" t="str">
        <f>'Expenses Summary'!C24</f>
        <v>Classified Supervisor and Administrator Salaries</v>
      </c>
      <c r="D70" s="112">
        <f>'Cash Flow %s Yr3'!D70</f>
        <v>0</v>
      </c>
      <c r="E70" s="112">
        <f>'Cash Flow %s Yr3'!E70</f>
        <v>0</v>
      </c>
      <c r="F70" s="112">
        <f>'Cash Flow %s Yr3'!F70</f>
        <v>0.1</v>
      </c>
      <c r="G70" s="112">
        <f>'Cash Flow %s Yr3'!G70</f>
        <v>0.1</v>
      </c>
      <c r="H70" s="112">
        <f>'Cash Flow %s Yr3'!H70</f>
        <v>0.1</v>
      </c>
      <c r="I70" s="112">
        <f>'Cash Flow %s Yr3'!I70</f>
        <v>0.1</v>
      </c>
      <c r="J70" s="112">
        <f>'Cash Flow %s Yr3'!J70</f>
        <v>0.1</v>
      </c>
      <c r="K70" s="112">
        <f>'Cash Flow %s Yr3'!K70</f>
        <v>0.1</v>
      </c>
      <c r="L70" s="112">
        <f>'Cash Flow %s Yr3'!L70</f>
        <v>0.1</v>
      </c>
      <c r="M70" s="112">
        <f>'Cash Flow %s Yr3'!M70</f>
        <v>0.1</v>
      </c>
      <c r="N70" s="112">
        <f>'Cash Flow %s Yr3'!N70</f>
        <v>0.1</v>
      </c>
      <c r="O70" s="112">
        <f>'Cash Flow %s Yr3'!O70</f>
        <v>0.1</v>
      </c>
      <c r="P70" s="112">
        <f>'Cash Flow %s Yr3'!P70</f>
        <v>0</v>
      </c>
      <c r="Q70" s="112">
        <f>'Cash Flow %s Yr3'!Q70</f>
        <v>0</v>
      </c>
      <c r="R70" s="112">
        <f>'Cash Flow %s Yr3'!R70</f>
        <v>0</v>
      </c>
      <c r="S70" s="111">
        <f t="shared" si="5"/>
        <v>0.99999999999999989</v>
      </c>
    </row>
    <row r="71" spans="1:19" s="31" customFormat="1" x14ac:dyDescent="0.2">
      <c r="A71" s="36"/>
      <c r="B71" s="67" t="str">
        <f>'Expenses Summary'!B25</f>
        <v>2400</v>
      </c>
      <c r="C71" s="67" t="str">
        <f>'Expenses Summary'!C25</f>
        <v>Clerical, Technical, and Office Staff Salaries</v>
      </c>
      <c r="D71" s="112">
        <f>'Cash Flow %s Yr3'!D71</f>
        <v>0</v>
      </c>
      <c r="E71" s="112">
        <f>'Cash Flow %s Yr3'!E71</f>
        <v>0</v>
      </c>
      <c r="F71" s="112">
        <f>'Cash Flow %s Yr3'!F71</f>
        <v>0.1</v>
      </c>
      <c r="G71" s="112">
        <f>'Cash Flow %s Yr3'!G71</f>
        <v>0.1</v>
      </c>
      <c r="H71" s="112">
        <f>'Cash Flow %s Yr3'!H71</f>
        <v>0.1</v>
      </c>
      <c r="I71" s="112">
        <f>'Cash Flow %s Yr3'!I71</f>
        <v>0.1</v>
      </c>
      <c r="J71" s="112">
        <f>'Cash Flow %s Yr3'!J71</f>
        <v>0.1</v>
      </c>
      <c r="K71" s="112">
        <f>'Cash Flow %s Yr3'!K71</f>
        <v>0.1</v>
      </c>
      <c r="L71" s="112">
        <f>'Cash Flow %s Yr3'!L71</f>
        <v>0.1</v>
      </c>
      <c r="M71" s="112">
        <f>'Cash Flow %s Yr3'!M71</f>
        <v>0.1</v>
      </c>
      <c r="N71" s="112">
        <f>'Cash Flow %s Yr3'!N71</f>
        <v>0.1</v>
      </c>
      <c r="O71" s="112">
        <f>'Cash Flow %s Yr3'!O71</f>
        <v>0.1</v>
      </c>
      <c r="P71" s="112">
        <f>'Cash Flow %s Yr3'!P71</f>
        <v>0</v>
      </c>
      <c r="Q71" s="112">
        <f>'Cash Flow %s Yr3'!Q71</f>
        <v>0</v>
      </c>
      <c r="R71" s="112">
        <f>'Cash Flow %s Yr3'!R71</f>
        <v>0</v>
      </c>
      <c r="S71" s="111">
        <f t="shared" si="5"/>
        <v>0.99999999999999989</v>
      </c>
    </row>
    <row r="72" spans="1:19" s="31" customFormat="1" x14ac:dyDescent="0.2">
      <c r="A72" s="36"/>
      <c r="B72" s="67" t="str">
        <f>'Expenses Summary'!B26</f>
        <v>2410</v>
      </c>
      <c r="C72" s="67" t="str">
        <f>'Expenses Summary'!C26</f>
        <v>Clerical, Technical, and Office Staff Overtime</v>
      </c>
      <c r="D72" s="112">
        <f>'Cash Flow %s Yr3'!D72</f>
        <v>0</v>
      </c>
      <c r="E72" s="112">
        <f>'Cash Flow %s Yr3'!E72</f>
        <v>0</v>
      </c>
      <c r="F72" s="112">
        <f>'Cash Flow %s Yr3'!F72</f>
        <v>0</v>
      </c>
      <c r="G72" s="112">
        <f>'Cash Flow %s Yr3'!G72</f>
        <v>0</v>
      </c>
      <c r="H72" s="112">
        <f>'Cash Flow %s Yr3'!H72</f>
        <v>0</v>
      </c>
      <c r="I72" s="112">
        <f>'Cash Flow %s Yr3'!I72</f>
        <v>1</v>
      </c>
      <c r="J72" s="112">
        <f>'Cash Flow %s Yr3'!J72</f>
        <v>0</v>
      </c>
      <c r="K72" s="112">
        <f>'Cash Flow %s Yr3'!K72</f>
        <v>0</v>
      </c>
      <c r="L72" s="112">
        <f>'Cash Flow %s Yr3'!L72</f>
        <v>0</v>
      </c>
      <c r="M72" s="112">
        <f>'Cash Flow %s Yr3'!M72</f>
        <v>0</v>
      </c>
      <c r="N72" s="112">
        <f>'Cash Flow %s Yr3'!N72</f>
        <v>0</v>
      </c>
      <c r="O72" s="112">
        <f>'Cash Flow %s Yr3'!O72</f>
        <v>0</v>
      </c>
      <c r="P72" s="112">
        <f>'Cash Flow %s Yr3'!P72</f>
        <v>0</v>
      </c>
      <c r="Q72" s="112">
        <f>'Cash Flow %s Yr3'!Q72</f>
        <v>0</v>
      </c>
      <c r="R72" s="112">
        <f>'Cash Flow %s Yr3'!R72</f>
        <v>0</v>
      </c>
      <c r="S72" s="111">
        <f t="shared" si="5"/>
        <v>1</v>
      </c>
    </row>
    <row r="73" spans="1:19" s="31" customFormat="1" x14ac:dyDescent="0.2">
      <c r="A73" s="36"/>
      <c r="B73" s="67" t="str">
        <f>'Expenses Summary'!B27</f>
        <v>2900</v>
      </c>
      <c r="C73" s="67" t="str">
        <f>'Expenses Summary'!C27</f>
        <v>Other Classified Salaries</v>
      </c>
      <c r="D73" s="112">
        <f>'Cash Flow %s Yr3'!D73</f>
        <v>0.1</v>
      </c>
      <c r="E73" s="112">
        <f>'Cash Flow %s Yr3'!E73</f>
        <v>0.1</v>
      </c>
      <c r="F73" s="112">
        <f>'Cash Flow %s Yr3'!F73</f>
        <v>0.1</v>
      </c>
      <c r="G73" s="112">
        <f>'Cash Flow %s Yr3'!G73</f>
        <v>0.1</v>
      </c>
      <c r="H73" s="112">
        <f>'Cash Flow %s Yr3'!H73</f>
        <v>0.1</v>
      </c>
      <c r="I73" s="112">
        <f>'Cash Flow %s Yr3'!I73</f>
        <v>0.1</v>
      </c>
      <c r="J73" s="112">
        <f>'Cash Flow %s Yr3'!J73</f>
        <v>0.1</v>
      </c>
      <c r="K73" s="112">
        <f>'Cash Flow %s Yr3'!K73</f>
        <v>0.1</v>
      </c>
      <c r="L73" s="112">
        <f>'Cash Flow %s Yr3'!L73</f>
        <v>0.1</v>
      </c>
      <c r="M73" s="112">
        <f>'Cash Flow %s Yr3'!M73</f>
        <v>0.1</v>
      </c>
      <c r="N73" s="112">
        <f>'Cash Flow %s Yr3'!N73</f>
        <v>0</v>
      </c>
      <c r="O73" s="112">
        <f>'Cash Flow %s Yr3'!O73</f>
        <v>0</v>
      </c>
      <c r="P73" s="112">
        <f>'Cash Flow %s Yr3'!P73</f>
        <v>0</v>
      </c>
      <c r="Q73" s="112">
        <f>'Cash Flow %s Yr3'!Q73</f>
        <v>0</v>
      </c>
      <c r="R73" s="112">
        <f>'Cash Flow %s Yr3'!R73</f>
        <v>0</v>
      </c>
      <c r="S73" s="111">
        <f t="shared" si="5"/>
        <v>0.99999999999999989</v>
      </c>
    </row>
    <row r="74" spans="1:19" s="31" customFormat="1" x14ac:dyDescent="0.2">
      <c r="A74" s="36"/>
      <c r="B74" s="67" t="str">
        <f>'Expenses Summary'!B28</f>
        <v>2905</v>
      </c>
      <c r="C74" s="67" t="str">
        <f>'Expenses Summary'!C28</f>
        <v>Other Stipends</v>
      </c>
      <c r="D74" s="112">
        <f>'Cash Flow %s Yr3'!D74</f>
        <v>0</v>
      </c>
      <c r="E74" s="112">
        <f>'Cash Flow %s Yr3'!E74</f>
        <v>0</v>
      </c>
      <c r="F74" s="112">
        <f>'Cash Flow %s Yr3'!F74</f>
        <v>0.1</v>
      </c>
      <c r="G74" s="112">
        <f>'Cash Flow %s Yr3'!G74</f>
        <v>0.1</v>
      </c>
      <c r="H74" s="112">
        <f>'Cash Flow %s Yr3'!H74</f>
        <v>0.1</v>
      </c>
      <c r="I74" s="112">
        <f>'Cash Flow %s Yr3'!I74</f>
        <v>0.1</v>
      </c>
      <c r="J74" s="112">
        <f>'Cash Flow %s Yr3'!J74</f>
        <v>0.1</v>
      </c>
      <c r="K74" s="112">
        <f>'Cash Flow %s Yr3'!K74</f>
        <v>0.1</v>
      </c>
      <c r="L74" s="112">
        <f>'Cash Flow %s Yr3'!L74</f>
        <v>0.1</v>
      </c>
      <c r="M74" s="112">
        <f>'Cash Flow %s Yr3'!M74</f>
        <v>0.1</v>
      </c>
      <c r="N74" s="112">
        <f>'Cash Flow %s Yr3'!N74</f>
        <v>0.1</v>
      </c>
      <c r="O74" s="112">
        <f>'Cash Flow %s Yr3'!O74</f>
        <v>0.1</v>
      </c>
      <c r="P74" s="112">
        <f>'Cash Flow %s Yr3'!P74</f>
        <v>0</v>
      </c>
      <c r="Q74" s="112">
        <f>'Cash Flow %s Yr3'!Q74</f>
        <v>0</v>
      </c>
      <c r="R74" s="112">
        <f>'Cash Flow %s Yr3'!R74</f>
        <v>0</v>
      </c>
      <c r="S74" s="111">
        <f t="shared" si="5"/>
        <v>0.99999999999999989</v>
      </c>
    </row>
    <row r="75" spans="1:19" s="31" customFormat="1" x14ac:dyDescent="0.2">
      <c r="A75" s="36"/>
      <c r="B75" s="67" t="str">
        <f>'Expenses Summary'!B29</f>
        <v>2910</v>
      </c>
      <c r="C75" s="67" t="str">
        <f>'Expenses Summary'!C29</f>
        <v>Other Classified Overtime</v>
      </c>
      <c r="D75" s="112">
        <f>'Cash Flow %s Yr3'!D75</f>
        <v>0</v>
      </c>
      <c r="E75" s="112">
        <f>'Cash Flow %s Yr3'!E75</f>
        <v>0</v>
      </c>
      <c r="F75" s="112">
        <f>'Cash Flow %s Yr3'!F75</f>
        <v>0.1</v>
      </c>
      <c r="G75" s="112">
        <f>'Cash Flow %s Yr3'!G75</f>
        <v>0.1</v>
      </c>
      <c r="H75" s="112">
        <f>'Cash Flow %s Yr3'!H75</f>
        <v>0.1</v>
      </c>
      <c r="I75" s="112">
        <f>'Cash Flow %s Yr3'!I75</f>
        <v>0.1</v>
      </c>
      <c r="J75" s="112">
        <f>'Cash Flow %s Yr3'!J75</f>
        <v>0.1</v>
      </c>
      <c r="K75" s="112">
        <f>'Cash Flow %s Yr3'!K75</f>
        <v>0.1</v>
      </c>
      <c r="L75" s="112">
        <f>'Cash Flow %s Yr3'!L75</f>
        <v>0.1</v>
      </c>
      <c r="M75" s="112">
        <f>'Cash Flow %s Yr3'!M75</f>
        <v>0.1</v>
      </c>
      <c r="N75" s="112">
        <f>'Cash Flow %s Yr3'!N75</f>
        <v>0.1</v>
      </c>
      <c r="O75" s="112">
        <f>'Cash Flow %s Yr3'!O75</f>
        <v>0.1</v>
      </c>
      <c r="P75" s="112">
        <f>'Cash Flow %s Yr3'!P75</f>
        <v>0</v>
      </c>
      <c r="Q75" s="112">
        <f>'Cash Flow %s Yr3'!Q75</f>
        <v>0</v>
      </c>
      <c r="R75" s="112">
        <f>'Cash Flow %s Yr3'!R75</f>
        <v>0</v>
      </c>
      <c r="S75" s="111">
        <f t="shared" si="5"/>
        <v>0.99999999999999989</v>
      </c>
    </row>
    <row r="76" spans="1:19" s="31" customFormat="1" x14ac:dyDescent="0.2">
      <c r="A76" s="36"/>
      <c r="B76" s="88"/>
      <c r="C76" s="93"/>
      <c r="D76" s="100"/>
      <c r="E76" s="100"/>
      <c r="F76" s="119"/>
      <c r="G76" s="119"/>
      <c r="H76" s="119"/>
      <c r="I76" s="119"/>
      <c r="J76" s="119"/>
      <c r="K76" s="119"/>
      <c r="L76" s="119"/>
      <c r="M76" s="119"/>
      <c r="N76" s="119"/>
      <c r="O76" s="119"/>
      <c r="P76" s="100"/>
      <c r="Q76" s="100"/>
      <c r="R76" s="100"/>
      <c r="S76" s="111"/>
    </row>
    <row r="77" spans="1:19" s="31" customFormat="1" x14ac:dyDescent="0.2">
      <c r="A77" s="36"/>
      <c r="B77" s="40"/>
      <c r="C77" s="3"/>
      <c r="D77" s="102"/>
      <c r="E77" s="102"/>
      <c r="F77" s="102"/>
      <c r="G77" s="102"/>
      <c r="H77" s="102"/>
      <c r="I77" s="102"/>
      <c r="J77" s="102"/>
      <c r="K77" s="102"/>
      <c r="L77" s="102"/>
      <c r="M77" s="102"/>
      <c r="N77" s="102"/>
      <c r="O77" s="102"/>
      <c r="P77" s="102"/>
      <c r="Q77" s="102"/>
      <c r="R77" s="102"/>
      <c r="S77" s="111"/>
    </row>
    <row r="78" spans="1:19" s="31" customFormat="1" x14ac:dyDescent="0.2">
      <c r="B78" s="34" t="s">
        <v>735</v>
      </c>
      <c r="C78" s="3"/>
      <c r="D78" s="102"/>
      <c r="E78" s="102"/>
      <c r="F78" s="102"/>
      <c r="G78" s="102"/>
      <c r="H78" s="102"/>
      <c r="I78" s="102"/>
      <c r="J78" s="102"/>
      <c r="K78" s="102"/>
      <c r="L78" s="102"/>
      <c r="M78" s="102"/>
      <c r="N78" s="102"/>
      <c r="O78" s="102"/>
      <c r="P78" s="102"/>
      <c r="Q78" s="102"/>
      <c r="R78" s="102"/>
      <c r="S78" s="111"/>
    </row>
    <row r="79" spans="1:19" s="31" customFormat="1" x14ac:dyDescent="0.2">
      <c r="A79" s="36"/>
      <c r="B79" s="67" t="str">
        <f>'Expenses Summary'!B33</f>
        <v>3101</v>
      </c>
      <c r="C79" s="67" t="str">
        <f>'Expenses Summary'!C33</f>
        <v>State Teachers' Retirement System, certificated positions</v>
      </c>
      <c r="D79" s="112">
        <f>'Cash Flow %s Yr3'!D79</f>
        <v>8.3000000000000004E-2</v>
      </c>
      <c r="E79" s="112">
        <f>'Cash Flow %s Yr3'!E79</f>
        <v>8.3000000000000004E-2</v>
      </c>
      <c r="F79" s="112">
        <f>'Cash Flow %s Yr3'!F79</f>
        <v>8.3000000000000004E-2</v>
      </c>
      <c r="G79" s="112">
        <f>'Cash Flow %s Yr3'!G79</f>
        <v>8.3000000000000004E-2</v>
      </c>
      <c r="H79" s="112">
        <f>'Cash Flow %s Yr3'!H79</f>
        <v>8.3000000000000004E-2</v>
      </c>
      <c r="I79" s="112">
        <f>'Cash Flow %s Yr3'!I79</f>
        <v>8.3000000000000004E-2</v>
      </c>
      <c r="J79" s="112">
        <f>'Cash Flow %s Yr3'!J79</f>
        <v>8.3000000000000004E-2</v>
      </c>
      <c r="K79" s="112">
        <f>'Cash Flow %s Yr3'!K79</f>
        <v>8.3000000000000004E-2</v>
      </c>
      <c r="L79" s="112">
        <f>'Cash Flow %s Yr3'!L79</f>
        <v>8.4000000000000005E-2</v>
      </c>
      <c r="M79" s="112">
        <f>'Cash Flow %s Yr3'!M79</f>
        <v>8.4000000000000005E-2</v>
      </c>
      <c r="N79" s="112">
        <f>'Cash Flow %s Yr3'!N79</f>
        <v>8.4000000000000005E-2</v>
      </c>
      <c r="O79" s="112">
        <f>'Cash Flow %s Yr3'!O79</f>
        <v>8.4000000000000005E-2</v>
      </c>
      <c r="P79" s="112">
        <f>'Cash Flow %s Yr3'!P79</f>
        <v>0</v>
      </c>
      <c r="Q79" s="112">
        <f>'Cash Flow %s Yr3'!Q79</f>
        <v>0</v>
      </c>
      <c r="R79" s="112">
        <f>'Cash Flow %s Yr3'!R79</f>
        <v>0</v>
      </c>
      <c r="S79" s="111">
        <f t="shared" ref="S79:S87" si="6">SUM(D79:R79)</f>
        <v>0.99999999999999989</v>
      </c>
    </row>
    <row r="80" spans="1:19" s="31" customFormat="1" x14ac:dyDescent="0.2">
      <c r="A80" s="36"/>
      <c r="B80" s="67" t="str">
        <f>'Expenses Summary'!B34</f>
        <v>3202</v>
      </c>
      <c r="C80" s="67" t="str">
        <f>'Expenses Summary'!C34</f>
        <v>Public Employees' Retirement System, classified positions</v>
      </c>
      <c r="D80" s="112">
        <f>'Cash Flow %s Yr3'!D80</f>
        <v>8.3000000000000004E-2</v>
      </c>
      <c r="E80" s="112">
        <f>'Cash Flow %s Yr3'!E80</f>
        <v>8.3000000000000004E-2</v>
      </c>
      <c r="F80" s="112">
        <f>'Cash Flow %s Yr3'!F80</f>
        <v>8.3000000000000004E-2</v>
      </c>
      <c r="G80" s="112">
        <f>'Cash Flow %s Yr3'!G80</f>
        <v>8.3000000000000004E-2</v>
      </c>
      <c r="H80" s="112">
        <f>'Cash Flow %s Yr3'!H80</f>
        <v>8.3000000000000004E-2</v>
      </c>
      <c r="I80" s="112">
        <f>'Cash Flow %s Yr3'!I80</f>
        <v>8.3000000000000004E-2</v>
      </c>
      <c r="J80" s="112">
        <f>'Cash Flow %s Yr3'!J80</f>
        <v>8.3000000000000004E-2</v>
      </c>
      <c r="K80" s="112">
        <f>'Cash Flow %s Yr3'!K80</f>
        <v>8.3000000000000004E-2</v>
      </c>
      <c r="L80" s="112">
        <f>'Cash Flow %s Yr3'!L80</f>
        <v>8.4000000000000005E-2</v>
      </c>
      <c r="M80" s="112">
        <f>'Cash Flow %s Yr3'!M80</f>
        <v>8.4000000000000005E-2</v>
      </c>
      <c r="N80" s="112">
        <f>'Cash Flow %s Yr3'!N80</f>
        <v>8.4000000000000005E-2</v>
      </c>
      <c r="O80" s="112">
        <f>'Cash Flow %s Yr3'!O80</f>
        <v>8.4000000000000005E-2</v>
      </c>
      <c r="P80" s="112">
        <f>'Cash Flow %s Yr3'!P80</f>
        <v>0</v>
      </c>
      <c r="Q80" s="112">
        <f>'Cash Flow %s Yr3'!Q80</f>
        <v>0</v>
      </c>
      <c r="R80" s="112">
        <f>'Cash Flow %s Yr3'!R80</f>
        <v>0</v>
      </c>
      <c r="S80" s="111">
        <f t="shared" si="6"/>
        <v>0.99999999999999989</v>
      </c>
    </row>
    <row r="81" spans="1:19" s="31" customFormat="1" x14ac:dyDescent="0.2">
      <c r="A81" s="36"/>
      <c r="B81" s="67" t="str">
        <f>'Expenses Summary'!B35</f>
        <v>3313</v>
      </c>
      <c r="C81" s="67" t="str">
        <f>'Expenses Summary'!C35</f>
        <v>OASDI</v>
      </c>
      <c r="D81" s="112">
        <f>'Cash Flow %s Yr3'!D81</f>
        <v>8.3000000000000004E-2</v>
      </c>
      <c r="E81" s="112">
        <f>'Cash Flow %s Yr3'!E81</f>
        <v>8.3000000000000004E-2</v>
      </c>
      <c r="F81" s="112">
        <f>'Cash Flow %s Yr3'!F81</f>
        <v>8.3000000000000004E-2</v>
      </c>
      <c r="G81" s="112">
        <f>'Cash Flow %s Yr3'!G81</f>
        <v>8.3000000000000004E-2</v>
      </c>
      <c r="H81" s="112">
        <f>'Cash Flow %s Yr3'!H81</f>
        <v>8.3000000000000004E-2</v>
      </c>
      <c r="I81" s="112">
        <f>'Cash Flow %s Yr3'!I81</f>
        <v>8.3000000000000004E-2</v>
      </c>
      <c r="J81" s="112">
        <f>'Cash Flow %s Yr3'!J81</f>
        <v>8.3000000000000004E-2</v>
      </c>
      <c r="K81" s="112">
        <f>'Cash Flow %s Yr3'!K81</f>
        <v>8.3000000000000004E-2</v>
      </c>
      <c r="L81" s="112">
        <f>'Cash Flow %s Yr3'!L81</f>
        <v>8.4000000000000005E-2</v>
      </c>
      <c r="M81" s="112">
        <f>'Cash Flow %s Yr3'!M81</f>
        <v>8.4000000000000005E-2</v>
      </c>
      <c r="N81" s="112">
        <f>'Cash Flow %s Yr3'!N81</f>
        <v>8.4000000000000005E-2</v>
      </c>
      <c r="O81" s="112">
        <f>'Cash Flow %s Yr3'!O81</f>
        <v>8.4000000000000005E-2</v>
      </c>
      <c r="P81" s="112">
        <f>'Cash Flow %s Yr3'!P81</f>
        <v>0</v>
      </c>
      <c r="Q81" s="112">
        <f>'Cash Flow %s Yr3'!Q81</f>
        <v>0</v>
      </c>
      <c r="R81" s="112">
        <f>'Cash Flow %s Yr3'!R81</f>
        <v>0</v>
      </c>
      <c r="S81" s="111">
        <f t="shared" si="6"/>
        <v>0.99999999999999989</v>
      </c>
    </row>
    <row r="82" spans="1:19" s="31" customFormat="1" x14ac:dyDescent="0.2">
      <c r="A82" s="36"/>
      <c r="B82" s="67" t="str">
        <f>'Expenses Summary'!B36</f>
        <v>3323</v>
      </c>
      <c r="C82" s="67" t="str">
        <f>'Expenses Summary'!C36</f>
        <v>Medicare</v>
      </c>
      <c r="D82" s="112">
        <f>'Cash Flow %s Yr3'!D82</f>
        <v>8.3000000000000004E-2</v>
      </c>
      <c r="E82" s="112">
        <f>'Cash Flow %s Yr3'!E82</f>
        <v>8.3000000000000004E-2</v>
      </c>
      <c r="F82" s="112">
        <f>'Cash Flow %s Yr3'!F82</f>
        <v>8.3000000000000004E-2</v>
      </c>
      <c r="G82" s="112">
        <f>'Cash Flow %s Yr3'!G82</f>
        <v>8.3000000000000004E-2</v>
      </c>
      <c r="H82" s="112">
        <f>'Cash Flow %s Yr3'!H82</f>
        <v>8.3000000000000004E-2</v>
      </c>
      <c r="I82" s="112">
        <f>'Cash Flow %s Yr3'!I82</f>
        <v>8.3000000000000004E-2</v>
      </c>
      <c r="J82" s="112">
        <f>'Cash Flow %s Yr3'!J82</f>
        <v>8.3000000000000004E-2</v>
      </c>
      <c r="K82" s="112">
        <f>'Cash Flow %s Yr3'!K82</f>
        <v>8.3000000000000004E-2</v>
      </c>
      <c r="L82" s="112">
        <f>'Cash Flow %s Yr3'!L82</f>
        <v>8.4000000000000005E-2</v>
      </c>
      <c r="M82" s="112">
        <f>'Cash Flow %s Yr3'!M82</f>
        <v>8.4000000000000005E-2</v>
      </c>
      <c r="N82" s="112">
        <f>'Cash Flow %s Yr3'!N82</f>
        <v>8.4000000000000005E-2</v>
      </c>
      <c r="O82" s="112">
        <f>'Cash Flow %s Yr3'!O82</f>
        <v>8.4000000000000005E-2</v>
      </c>
      <c r="P82" s="112">
        <f>'Cash Flow %s Yr3'!P82</f>
        <v>0</v>
      </c>
      <c r="Q82" s="112">
        <f>'Cash Flow %s Yr3'!Q82</f>
        <v>0</v>
      </c>
      <c r="R82" s="112">
        <f>'Cash Flow %s Yr3'!R82</f>
        <v>0</v>
      </c>
      <c r="S82" s="111">
        <f t="shared" si="6"/>
        <v>0.99999999999999989</v>
      </c>
    </row>
    <row r="83" spans="1:19" s="31" customFormat="1" x14ac:dyDescent="0.2">
      <c r="A83" s="36"/>
      <c r="B83" s="67" t="str">
        <f>'Expenses Summary'!B37</f>
        <v>3403</v>
      </c>
      <c r="C83" s="67" t="str">
        <f>'Expenses Summary'!C37</f>
        <v>Health &amp; Welfare Benefits</v>
      </c>
      <c r="D83" s="112">
        <f>'Cash Flow %s Yr3'!D83</f>
        <v>8.3000000000000004E-2</v>
      </c>
      <c r="E83" s="112">
        <f>'Cash Flow %s Yr3'!E83</f>
        <v>8.3000000000000004E-2</v>
      </c>
      <c r="F83" s="112">
        <f>'Cash Flow %s Yr3'!F83</f>
        <v>8.3000000000000004E-2</v>
      </c>
      <c r="G83" s="112">
        <f>'Cash Flow %s Yr3'!G83</f>
        <v>8.3000000000000004E-2</v>
      </c>
      <c r="H83" s="112">
        <f>'Cash Flow %s Yr3'!H83</f>
        <v>8.3000000000000004E-2</v>
      </c>
      <c r="I83" s="112">
        <f>'Cash Flow %s Yr3'!I83</f>
        <v>8.3000000000000004E-2</v>
      </c>
      <c r="J83" s="112">
        <f>'Cash Flow %s Yr3'!J83</f>
        <v>8.3000000000000004E-2</v>
      </c>
      <c r="K83" s="112">
        <f>'Cash Flow %s Yr3'!K83</f>
        <v>8.3000000000000004E-2</v>
      </c>
      <c r="L83" s="112">
        <f>'Cash Flow %s Yr3'!L83</f>
        <v>8.4000000000000005E-2</v>
      </c>
      <c r="M83" s="112">
        <f>'Cash Flow %s Yr3'!M83</f>
        <v>8.4000000000000005E-2</v>
      </c>
      <c r="N83" s="112">
        <f>'Cash Flow %s Yr3'!N83</f>
        <v>8.4000000000000005E-2</v>
      </c>
      <c r="O83" s="112">
        <f>'Cash Flow %s Yr3'!O83</f>
        <v>8.4000000000000005E-2</v>
      </c>
      <c r="P83" s="112">
        <f>'Cash Flow %s Yr3'!P83</f>
        <v>0</v>
      </c>
      <c r="Q83" s="112">
        <f>'Cash Flow %s Yr3'!Q83</f>
        <v>0</v>
      </c>
      <c r="R83" s="112">
        <f>'Cash Flow %s Yr3'!R83</f>
        <v>0</v>
      </c>
      <c r="S83" s="111">
        <f t="shared" si="6"/>
        <v>0.99999999999999989</v>
      </c>
    </row>
    <row r="84" spans="1:19" s="31" customFormat="1" x14ac:dyDescent="0.2">
      <c r="A84" s="36"/>
      <c r="B84" s="67" t="str">
        <f>'Expenses Summary'!B38</f>
        <v>3503</v>
      </c>
      <c r="C84" s="67" t="str">
        <f>'Expenses Summary'!C38</f>
        <v>State Unemployment Insurance</v>
      </c>
      <c r="D84" s="112">
        <f>'Cash Flow %s Yr3'!D84</f>
        <v>8.3000000000000004E-2</v>
      </c>
      <c r="E84" s="112">
        <f>'Cash Flow %s Yr3'!E84</f>
        <v>8.3000000000000004E-2</v>
      </c>
      <c r="F84" s="112">
        <f>'Cash Flow %s Yr3'!F84</f>
        <v>8.3000000000000004E-2</v>
      </c>
      <c r="G84" s="112">
        <f>'Cash Flow %s Yr3'!G84</f>
        <v>8.3000000000000004E-2</v>
      </c>
      <c r="H84" s="112">
        <f>'Cash Flow %s Yr3'!H84</f>
        <v>8.3000000000000004E-2</v>
      </c>
      <c r="I84" s="112">
        <f>'Cash Flow %s Yr3'!I84</f>
        <v>8.3000000000000004E-2</v>
      </c>
      <c r="J84" s="112">
        <f>'Cash Flow %s Yr3'!J84</f>
        <v>8.3000000000000004E-2</v>
      </c>
      <c r="K84" s="112">
        <f>'Cash Flow %s Yr3'!K84</f>
        <v>8.3000000000000004E-2</v>
      </c>
      <c r="L84" s="112">
        <f>'Cash Flow %s Yr3'!L84</f>
        <v>8.4000000000000005E-2</v>
      </c>
      <c r="M84" s="112">
        <f>'Cash Flow %s Yr3'!M84</f>
        <v>8.4000000000000005E-2</v>
      </c>
      <c r="N84" s="112">
        <f>'Cash Flow %s Yr3'!N84</f>
        <v>8.4000000000000005E-2</v>
      </c>
      <c r="O84" s="112">
        <f>'Cash Flow %s Yr3'!O84</f>
        <v>8.4000000000000005E-2</v>
      </c>
      <c r="P84" s="112">
        <f>'Cash Flow %s Yr3'!P84</f>
        <v>0</v>
      </c>
      <c r="Q84" s="112">
        <f>'Cash Flow %s Yr3'!Q84</f>
        <v>0</v>
      </c>
      <c r="R84" s="112">
        <f>'Cash Flow %s Yr3'!R84</f>
        <v>0</v>
      </c>
      <c r="S84" s="111">
        <f t="shared" si="6"/>
        <v>0.99999999999999989</v>
      </c>
    </row>
    <row r="85" spans="1:19" s="31" customFormat="1" x14ac:dyDescent="0.2">
      <c r="A85" s="36"/>
      <c r="B85" s="67" t="str">
        <f>'Expenses Summary'!B39</f>
        <v>3603</v>
      </c>
      <c r="C85" s="67" t="str">
        <f>'Expenses Summary'!C39</f>
        <v>Worker Compensation Insurance</v>
      </c>
      <c r="D85" s="112">
        <f>'Cash Flow %s Yr3'!D85</f>
        <v>8.3000000000000004E-2</v>
      </c>
      <c r="E85" s="112">
        <f>'Cash Flow %s Yr3'!E85</f>
        <v>8.3000000000000004E-2</v>
      </c>
      <c r="F85" s="112">
        <f>'Cash Flow %s Yr3'!F85</f>
        <v>8.3000000000000004E-2</v>
      </c>
      <c r="G85" s="112">
        <f>'Cash Flow %s Yr3'!G85</f>
        <v>8.3000000000000004E-2</v>
      </c>
      <c r="H85" s="112">
        <f>'Cash Flow %s Yr3'!H85</f>
        <v>8.3000000000000004E-2</v>
      </c>
      <c r="I85" s="112">
        <f>'Cash Flow %s Yr3'!I85</f>
        <v>8.3000000000000004E-2</v>
      </c>
      <c r="J85" s="112">
        <f>'Cash Flow %s Yr3'!J85</f>
        <v>8.3000000000000004E-2</v>
      </c>
      <c r="K85" s="112">
        <f>'Cash Flow %s Yr3'!K85</f>
        <v>8.3000000000000004E-2</v>
      </c>
      <c r="L85" s="112">
        <f>'Cash Flow %s Yr3'!L85</f>
        <v>8.4000000000000005E-2</v>
      </c>
      <c r="M85" s="112">
        <f>'Cash Flow %s Yr3'!M85</f>
        <v>8.4000000000000005E-2</v>
      </c>
      <c r="N85" s="112">
        <f>'Cash Flow %s Yr3'!N85</f>
        <v>8.4000000000000005E-2</v>
      </c>
      <c r="O85" s="112">
        <f>'Cash Flow %s Yr3'!O85</f>
        <v>8.4000000000000005E-2</v>
      </c>
      <c r="P85" s="112">
        <f>'Cash Flow %s Yr3'!P85</f>
        <v>0</v>
      </c>
      <c r="Q85" s="112">
        <f>'Cash Flow %s Yr3'!Q85</f>
        <v>0</v>
      </c>
      <c r="R85" s="112">
        <f>'Cash Flow %s Yr3'!R85</f>
        <v>0</v>
      </c>
      <c r="S85" s="111">
        <f t="shared" si="6"/>
        <v>0.99999999999999989</v>
      </c>
    </row>
    <row r="86" spans="1:19" s="31" customFormat="1" x14ac:dyDescent="0.2">
      <c r="A86" s="36"/>
      <c r="B86" s="67" t="str">
        <f>'Expenses Summary'!B40</f>
        <v>3703</v>
      </c>
      <c r="C86" s="67" t="str">
        <f>'Expenses Summary'!C40</f>
        <v>Other Post Employement Benefits</v>
      </c>
      <c r="D86" s="112">
        <f>'Cash Flow %s Yr3'!D86</f>
        <v>8.3000000000000004E-2</v>
      </c>
      <c r="E86" s="112">
        <f>'Cash Flow %s Yr3'!E86</f>
        <v>8.3000000000000004E-2</v>
      </c>
      <c r="F86" s="112">
        <f>'Cash Flow %s Yr3'!F86</f>
        <v>8.3000000000000004E-2</v>
      </c>
      <c r="G86" s="112">
        <f>'Cash Flow %s Yr3'!G86</f>
        <v>8.3000000000000004E-2</v>
      </c>
      <c r="H86" s="112">
        <f>'Cash Flow %s Yr3'!H86</f>
        <v>8.3000000000000004E-2</v>
      </c>
      <c r="I86" s="112">
        <f>'Cash Flow %s Yr3'!I86</f>
        <v>8.3000000000000004E-2</v>
      </c>
      <c r="J86" s="112">
        <f>'Cash Flow %s Yr3'!J86</f>
        <v>8.3000000000000004E-2</v>
      </c>
      <c r="K86" s="112">
        <f>'Cash Flow %s Yr3'!K86</f>
        <v>8.3000000000000004E-2</v>
      </c>
      <c r="L86" s="112">
        <f>'Cash Flow %s Yr3'!L86</f>
        <v>8.4000000000000005E-2</v>
      </c>
      <c r="M86" s="112">
        <f>'Cash Flow %s Yr3'!M86</f>
        <v>8.4000000000000005E-2</v>
      </c>
      <c r="N86" s="112">
        <f>'Cash Flow %s Yr3'!N86</f>
        <v>8.4000000000000005E-2</v>
      </c>
      <c r="O86" s="112">
        <f>'Cash Flow %s Yr3'!O86</f>
        <v>8.4000000000000005E-2</v>
      </c>
      <c r="P86" s="112">
        <f>'Cash Flow %s Yr3'!P86</f>
        <v>0</v>
      </c>
      <c r="Q86" s="112">
        <f>'Cash Flow %s Yr3'!Q86</f>
        <v>0</v>
      </c>
      <c r="R86" s="112">
        <f>'Cash Flow %s Yr3'!R86</f>
        <v>0</v>
      </c>
      <c r="S86" s="111">
        <f t="shared" si="6"/>
        <v>0.99999999999999989</v>
      </c>
    </row>
    <row r="87" spans="1:19" s="31" customFormat="1" x14ac:dyDescent="0.2">
      <c r="A87" s="36"/>
      <c r="B87" s="67" t="str">
        <f>'Expenses Summary'!B41</f>
        <v>3903</v>
      </c>
      <c r="C87" s="67" t="str">
        <f>'Expenses Summary'!C41</f>
        <v>Other Benefits</v>
      </c>
      <c r="D87" s="112">
        <f>'Cash Flow %s Yr3'!D87</f>
        <v>8.3000000000000004E-2</v>
      </c>
      <c r="E87" s="112">
        <f>'Cash Flow %s Yr3'!E87</f>
        <v>8.3000000000000004E-2</v>
      </c>
      <c r="F87" s="112">
        <f>'Cash Flow %s Yr3'!F87</f>
        <v>8.3000000000000004E-2</v>
      </c>
      <c r="G87" s="112">
        <f>'Cash Flow %s Yr3'!G87</f>
        <v>8.3000000000000004E-2</v>
      </c>
      <c r="H87" s="112">
        <f>'Cash Flow %s Yr3'!H87</f>
        <v>8.3000000000000004E-2</v>
      </c>
      <c r="I87" s="112">
        <f>'Cash Flow %s Yr3'!I87</f>
        <v>8.3000000000000004E-2</v>
      </c>
      <c r="J87" s="112">
        <f>'Cash Flow %s Yr3'!J87</f>
        <v>8.3000000000000004E-2</v>
      </c>
      <c r="K87" s="112">
        <f>'Cash Flow %s Yr3'!K87</f>
        <v>8.3000000000000004E-2</v>
      </c>
      <c r="L87" s="112">
        <f>'Cash Flow %s Yr3'!L87</f>
        <v>8.4000000000000005E-2</v>
      </c>
      <c r="M87" s="112">
        <f>'Cash Flow %s Yr3'!M87</f>
        <v>8.4000000000000005E-2</v>
      </c>
      <c r="N87" s="112">
        <f>'Cash Flow %s Yr3'!N87</f>
        <v>8.4000000000000005E-2</v>
      </c>
      <c r="O87" s="112">
        <f>'Cash Flow %s Yr3'!O87</f>
        <v>8.4000000000000005E-2</v>
      </c>
      <c r="P87" s="112">
        <f>'Cash Flow %s Yr3'!P87</f>
        <v>0</v>
      </c>
      <c r="Q87" s="112">
        <f>'Cash Flow %s Yr3'!Q87</f>
        <v>0</v>
      </c>
      <c r="R87" s="112">
        <f>'Cash Flow %s Yr3'!R87</f>
        <v>0</v>
      </c>
      <c r="S87" s="111">
        <f t="shared" si="6"/>
        <v>0.99999999999999989</v>
      </c>
    </row>
    <row r="88" spans="1:19" s="31" customFormat="1" x14ac:dyDescent="0.2">
      <c r="A88" s="36"/>
      <c r="B88" s="122"/>
      <c r="C88" s="122"/>
      <c r="D88" s="123"/>
      <c r="E88" s="123"/>
      <c r="F88" s="123"/>
      <c r="G88" s="123"/>
      <c r="H88" s="123"/>
      <c r="I88" s="123"/>
      <c r="J88" s="123"/>
      <c r="K88" s="123"/>
      <c r="L88" s="123"/>
      <c r="M88" s="123"/>
      <c r="N88" s="123"/>
      <c r="O88" s="123"/>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c r="S89" s="111"/>
    </row>
    <row r="90" spans="1:19" s="31" customFormat="1" x14ac:dyDescent="0.2">
      <c r="B90" s="34" t="s">
        <v>678</v>
      </c>
      <c r="C90" s="3"/>
      <c r="D90" s="95"/>
      <c r="E90" s="95"/>
      <c r="F90" s="95"/>
      <c r="G90" s="95"/>
      <c r="H90" s="95"/>
      <c r="I90" s="95"/>
      <c r="J90" s="95"/>
      <c r="K90" s="95"/>
      <c r="L90" s="95"/>
      <c r="M90" s="95"/>
      <c r="N90" s="95"/>
      <c r="O90" s="95"/>
      <c r="P90" s="95"/>
      <c r="Q90" s="95"/>
      <c r="R90" s="95"/>
      <c r="S90" s="111"/>
    </row>
    <row r="91" spans="1:19" s="31" customFormat="1" x14ac:dyDescent="0.2">
      <c r="A91" s="36"/>
      <c r="B91" s="66" t="str">
        <f>'Expenses Summary'!B47</f>
        <v>4100</v>
      </c>
      <c r="C91" s="66" t="str">
        <f>'Expenses Summary'!C47</f>
        <v>Approved Textbooks and Core Curricula Materials</v>
      </c>
      <c r="D91" s="112">
        <f>'Cash Flow %s Yr3'!D91</f>
        <v>0</v>
      </c>
      <c r="E91" s="112">
        <f>'Cash Flow %s Yr3'!E91</f>
        <v>0</v>
      </c>
      <c r="F91" s="112">
        <f>'Cash Flow %s Yr3'!F91</f>
        <v>0</v>
      </c>
      <c r="G91" s="112">
        <f>'Cash Flow %s Yr3'!G91</f>
        <v>0</v>
      </c>
      <c r="H91" s="112">
        <f>'Cash Flow %s Yr3'!H91</f>
        <v>0.25</v>
      </c>
      <c r="I91" s="112">
        <f>'Cash Flow %s Yr3'!I91</f>
        <v>0.25</v>
      </c>
      <c r="J91" s="112">
        <f>'Cash Flow %s Yr3'!J91</f>
        <v>0.25</v>
      </c>
      <c r="K91" s="112">
        <f>'Cash Flow %s Yr3'!K91</f>
        <v>0</v>
      </c>
      <c r="L91" s="112">
        <f>'Cash Flow %s Yr3'!L91</f>
        <v>0.25</v>
      </c>
      <c r="M91" s="112">
        <f>'Cash Flow %s Yr3'!M91</f>
        <v>0</v>
      </c>
      <c r="N91" s="112">
        <f>'Cash Flow %s Yr3'!N91</f>
        <v>0</v>
      </c>
      <c r="O91" s="112">
        <f>'Cash Flow %s Yr3'!O91</f>
        <v>0</v>
      </c>
      <c r="P91" s="112">
        <f>'Cash Flow %s Yr3'!P91</f>
        <v>0</v>
      </c>
      <c r="Q91" s="112">
        <f>'Cash Flow %s Yr3'!Q91</f>
        <v>0</v>
      </c>
      <c r="R91" s="112">
        <f>'Cash Flow %s Yr3'!R91</f>
        <v>0</v>
      </c>
      <c r="S91" s="111">
        <f t="shared" ref="S91:S96" si="7">SUM(D91:R91)</f>
        <v>1</v>
      </c>
    </row>
    <row r="92" spans="1:19" x14ac:dyDescent="0.2">
      <c r="A92" s="36"/>
      <c r="B92" s="66" t="str">
        <f>'Expenses Summary'!B48</f>
        <v>4200</v>
      </c>
      <c r="C92" s="66" t="str">
        <f>'Expenses Summary'!C48</f>
        <v>Books and Other Reference Materials</v>
      </c>
      <c r="D92" s="112">
        <f>'Cash Flow %s Yr3'!D92</f>
        <v>0</v>
      </c>
      <c r="E92" s="112">
        <f>'Cash Flow %s Yr3'!E92</f>
        <v>0</v>
      </c>
      <c r="F92" s="112">
        <f>'Cash Flow %s Yr3'!F92</f>
        <v>0</v>
      </c>
      <c r="G92" s="112">
        <f>'Cash Flow %s Yr3'!G92</f>
        <v>0</v>
      </c>
      <c r="H92" s="112">
        <f>'Cash Flow %s Yr3'!H92</f>
        <v>0.25</v>
      </c>
      <c r="I92" s="112">
        <f>'Cash Flow %s Yr3'!I92</f>
        <v>0.25</v>
      </c>
      <c r="J92" s="112">
        <f>'Cash Flow %s Yr3'!J92</f>
        <v>0.25</v>
      </c>
      <c r="K92" s="112">
        <f>'Cash Flow %s Yr3'!K92</f>
        <v>0</v>
      </c>
      <c r="L92" s="112">
        <f>'Cash Flow %s Yr3'!L92</f>
        <v>0.25</v>
      </c>
      <c r="M92" s="112">
        <f>'Cash Flow %s Yr3'!M92</f>
        <v>0</v>
      </c>
      <c r="N92" s="112">
        <f>'Cash Flow %s Yr3'!N92</f>
        <v>0</v>
      </c>
      <c r="O92" s="112">
        <f>'Cash Flow %s Yr3'!O92</f>
        <v>0</v>
      </c>
      <c r="P92" s="112">
        <f>'Cash Flow %s Yr3'!P92</f>
        <v>0</v>
      </c>
      <c r="Q92" s="112">
        <f>'Cash Flow %s Yr3'!Q92</f>
        <v>0</v>
      </c>
      <c r="R92" s="112">
        <f>'Cash Flow %s Yr3'!R92</f>
        <v>0</v>
      </c>
      <c r="S92" s="111">
        <f t="shared" si="7"/>
        <v>1</v>
      </c>
    </row>
    <row r="93" spans="1:19" x14ac:dyDescent="0.2">
      <c r="A93" s="36"/>
      <c r="B93" s="66" t="str">
        <f>'Expenses Summary'!B49</f>
        <v>4300</v>
      </c>
      <c r="C93" s="66" t="str">
        <f>'Expenses Summary'!C49</f>
        <v>Materials and Supplies</v>
      </c>
      <c r="D93" s="112">
        <f>'Cash Flow %s Yr3'!D93</f>
        <v>0</v>
      </c>
      <c r="E93" s="112">
        <f>'Cash Flow %s Yr3'!E93</f>
        <v>0</v>
      </c>
      <c r="F93" s="112">
        <f>'Cash Flow %s Yr3'!F93</f>
        <v>0.3</v>
      </c>
      <c r="G93" s="112">
        <f>'Cash Flow %s Yr3'!G93</f>
        <v>0</v>
      </c>
      <c r="H93" s="112">
        <f>'Cash Flow %s Yr3'!H93</f>
        <v>0.3</v>
      </c>
      <c r="I93" s="112">
        <f>'Cash Flow %s Yr3'!I93</f>
        <v>0</v>
      </c>
      <c r="J93" s="112">
        <f>'Cash Flow %s Yr3'!J93</f>
        <v>0.3</v>
      </c>
      <c r="K93" s="112">
        <f>'Cash Flow %s Yr3'!K93</f>
        <v>0</v>
      </c>
      <c r="L93" s="112">
        <f>'Cash Flow %s Yr3'!L93</f>
        <v>0.1</v>
      </c>
      <c r="M93" s="112">
        <f>'Cash Flow %s Yr3'!M93</f>
        <v>0</v>
      </c>
      <c r="N93" s="112">
        <f>'Cash Flow %s Yr3'!N93</f>
        <v>0</v>
      </c>
      <c r="O93" s="112">
        <f>'Cash Flow %s Yr3'!O93</f>
        <v>0</v>
      </c>
      <c r="P93" s="112">
        <f>'Cash Flow %s Yr3'!P93</f>
        <v>0</v>
      </c>
      <c r="Q93" s="112">
        <f>'Cash Flow %s Yr3'!Q93</f>
        <v>0</v>
      </c>
      <c r="R93" s="112">
        <f>'Cash Flow %s Yr3'!R93</f>
        <v>0</v>
      </c>
      <c r="S93" s="111">
        <f t="shared" si="7"/>
        <v>0.99999999999999989</v>
      </c>
    </row>
    <row r="94" spans="1:19" x14ac:dyDescent="0.2">
      <c r="A94" s="36"/>
      <c r="B94" s="66" t="str">
        <f>'Expenses Summary'!B50</f>
        <v>4315</v>
      </c>
      <c r="C94" s="66" t="str">
        <f>'Expenses Summary'!C50</f>
        <v>Classroom Materials and Supplies</v>
      </c>
      <c r="D94" s="112">
        <f>'Cash Flow %s Yr3'!D94</f>
        <v>0</v>
      </c>
      <c r="E94" s="112">
        <f>'Cash Flow %s Yr3'!E94</f>
        <v>0</v>
      </c>
      <c r="F94" s="112">
        <f>'Cash Flow %s Yr3'!F94</f>
        <v>0.1</v>
      </c>
      <c r="G94" s="112">
        <f>'Cash Flow %s Yr3'!G94</f>
        <v>0.1</v>
      </c>
      <c r="H94" s="112">
        <f>'Cash Flow %s Yr3'!H94</f>
        <v>0.2</v>
      </c>
      <c r="I94" s="112">
        <f>'Cash Flow %s Yr3'!I94</f>
        <v>0.1</v>
      </c>
      <c r="J94" s="112">
        <f>'Cash Flow %s Yr3'!J94</f>
        <v>0.2</v>
      </c>
      <c r="K94" s="112">
        <f>'Cash Flow %s Yr3'!K94</f>
        <v>0.1</v>
      </c>
      <c r="L94" s="112">
        <f>'Cash Flow %s Yr3'!L94</f>
        <v>0.1</v>
      </c>
      <c r="M94" s="112">
        <f>'Cash Flow %s Yr3'!M94</f>
        <v>0.1</v>
      </c>
      <c r="N94" s="112">
        <f>'Cash Flow %s Yr3'!N94</f>
        <v>0</v>
      </c>
      <c r="O94" s="112">
        <f>'Cash Flow %s Yr3'!O94</f>
        <v>0</v>
      </c>
      <c r="P94" s="112">
        <f>'Cash Flow %s Yr3'!P94</f>
        <v>0</v>
      </c>
      <c r="Q94" s="112">
        <f>'Cash Flow %s Yr3'!Q94</f>
        <v>0</v>
      </c>
      <c r="R94" s="112">
        <f>'Cash Flow %s Yr3'!R94</f>
        <v>0</v>
      </c>
      <c r="S94" s="111">
        <f t="shared" si="7"/>
        <v>0.99999999999999989</v>
      </c>
    </row>
    <row r="95" spans="1:19" x14ac:dyDescent="0.2">
      <c r="A95" s="36"/>
      <c r="B95" s="66" t="str">
        <f>'Expenses Summary'!B51</f>
        <v>4400</v>
      </c>
      <c r="C95" s="66" t="str">
        <f>'Expenses Summary'!C51</f>
        <v>Noncapitalized Equipment</v>
      </c>
      <c r="D95" s="112">
        <f>'Cash Flow %s Yr3'!D95</f>
        <v>8.3000000000000004E-2</v>
      </c>
      <c r="E95" s="112">
        <f>'Cash Flow %s Yr3'!E95</f>
        <v>8.3000000000000004E-2</v>
      </c>
      <c r="F95" s="112">
        <f>'Cash Flow %s Yr3'!F95</f>
        <v>8.3000000000000004E-2</v>
      </c>
      <c r="G95" s="112">
        <f>'Cash Flow %s Yr3'!G95</f>
        <v>8.3000000000000004E-2</v>
      </c>
      <c r="H95" s="112">
        <f>'Cash Flow %s Yr3'!H95</f>
        <v>8.3000000000000004E-2</v>
      </c>
      <c r="I95" s="112">
        <f>'Cash Flow %s Yr3'!I95</f>
        <v>8.3000000000000004E-2</v>
      </c>
      <c r="J95" s="112">
        <f>'Cash Flow %s Yr3'!J95</f>
        <v>8.3000000000000004E-2</v>
      </c>
      <c r="K95" s="112">
        <f>'Cash Flow %s Yr3'!K95</f>
        <v>8.3000000000000004E-2</v>
      </c>
      <c r="L95" s="112">
        <f>'Cash Flow %s Yr3'!L95</f>
        <v>8.4000000000000005E-2</v>
      </c>
      <c r="M95" s="112">
        <f>'Cash Flow %s Yr3'!M95</f>
        <v>8.4000000000000005E-2</v>
      </c>
      <c r="N95" s="112">
        <f>'Cash Flow %s Yr3'!N95</f>
        <v>8.4000000000000005E-2</v>
      </c>
      <c r="O95" s="112">
        <f>'Cash Flow %s Yr3'!O95</f>
        <v>8.4000000000000005E-2</v>
      </c>
      <c r="P95" s="112">
        <f>'Cash Flow %s Yr3'!P95</f>
        <v>0</v>
      </c>
      <c r="Q95" s="112">
        <f>'Cash Flow %s Yr3'!Q95</f>
        <v>0</v>
      </c>
      <c r="R95" s="112">
        <f>'Cash Flow %s Yr3'!R95</f>
        <v>0</v>
      </c>
      <c r="S95" s="111">
        <f t="shared" si="7"/>
        <v>0.99999999999999989</v>
      </c>
    </row>
    <row r="96" spans="1:19" x14ac:dyDescent="0.2">
      <c r="A96" s="36"/>
      <c r="B96" s="66" t="str">
        <f>'Expenses Summary'!B52</f>
        <v>4430</v>
      </c>
      <c r="C96" s="66" t="str">
        <f>'Expenses Summary'!C52</f>
        <v>General Student Equipment</v>
      </c>
      <c r="D96" s="112">
        <f>'Cash Flow %s Yr3'!D96</f>
        <v>0</v>
      </c>
      <c r="E96" s="112">
        <f>'Cash Flow %s Yr3'!E96</f>
        <v>0</v>
      </c>
      <c r="F96" s="112">
        <f>'Cash Flow %s Yr3'!F96</f>
        <v>0.6</v>
      </c>
      <c r="G96" s="112">
        <f>'Cash Flow %s Yr3'!G96</f>
        <v>0</v>
      </c>
      <c r="H96" s="112">
        <f>'Cash Flow %s Yr3'!H96</f>
        <v>0</v>
      </c>
      <c r="I96" s="112">
        <f>'Cash Flow %s Yr3'!I96</f>
        <v>0</v>
      </c>
      <c r="J96" s="112">
        <f>'Cash Flow %s Yr3'!J96</f>
        <v>0.4</v>
      </c>
      <c r="K96" s="112">
        <f>'Cash Flow %s Yr3'!K96</f>
        <v>0</v>
      </c>
      <c r="L96" s="112">
        <f>'Cash Flow %s Yr3'!L96</f>
        <v>0</v>
      </c>
      <c r="M96" s="112">
        <f>'Cash Flow %s Yr3'!M96</f>
        <v>0</v>
      </c>
      <c r="N96" s="112">
        <f>'Cash Flow %s Yr3'!N96</f>
        <v>0</v>
      </c>
      <c r="O96" s="112">
        <f>'Cash Flow %s Yr3'!O96</f>
        <v>0</v>
      </c>
      <c r="P96" s="112">
        <f>'Cash Flow %s Yr3'!P96</f>
        <v>0</v>
      </c>
      <c r="Q96" s="112">
        <f>'Cash Flow %s Yr3'!Q96</f>
        <v>0</v>
      </c>
      <c r="R96" s="112">
        <f>'Cash Flow %s Yr3'!R96</f>
        <v>0</v>
      </c>
      <c r="S96" s="111">
        <f t="shared" si="7"/>
        <v>1</v>
      </c>
    </row>
    <row r="97" spans="1:19" hidden="1" outlineLevel="1" x14ac:dyDescent="0.2">
      <c r="A97" s="36"/>
      <c r="B97" s="66">
        <f>'Expenses Summary'!B53</f>
        <v>0</v>
      </c>
      <c r="C97" s="66">
        <f>'Expenses Summary'!C53</f>
        <v>0</v>
      </c>
      <c r="D97" s="112">
        <f>'Cash Flow %s Yr3'!D97</f>
        <v>0</v>
      </c>
      <c r="E97" s="112">
        <f>'Cash Flow %s Yr3'!E97</f>
        <v>0</v>
      </c>
      <c r="F97" s="112">
        <f>'Cash Flow %s Yr3'!F97</f>
        <v>0.1</v>
      </c>
      <c r="G97" s="112">
        <f>'Cash Flow %s Yr3'!G97</f>
        <v>0.1</v>
      </c>
      <c r="H97" s="112">
        <f>'Cash Flow %s Yr3'!H97</f>
        <v>0.1</v>
      </c>
      <c r="I97" s="112">
        <f>'Cash Flow %s Yr3'!I97</f>
        <v>0.1</v>
      </c>
      <c r="J97" s="112">
        <f>'Cash Flow %s Yr3'!J97</f>
        <v>0.1</v>
      </c>
      <c r="K97" s="112">
        <f>'Cash Flow %s Yr3'!K97</f>
        <v>0.1</v>
      </c>
      <c r="L97" s="112">
        <f>'Cash Flow %s Yr3'!L97</f>
        <v>0.1</v>
      </c>
      <c r="M97" s="112">
        <f>'Cash Flow %s Yr3'!M97</f>
        <v>0.1</v>
      </c>
      <c r="N97" s="112">
        <f>'Cash Flow %s Yr3'!N97</f>
        <v>0.1</v>
      </c>
      <c r="O97" s="112">
        <f>'Cash Flow %s Yr3'!O97</f>
        <v>0.1</v>
      </c>
      <c r="P97" s="112">
        <f>'Cash Flow %s Yr3'!P97</f>
        <v>0</v>
      </c>
      <c r="Q97" s="112">
        <f>'Cash Flow %s Yr3'!Q97</f>
        <v>0</v>
      </c>
      <c r="R97" s="112">
        <f>'Cash Flow %s Yr3'!R97</f>
        <v>0</v>
      </c>
      <c r="S97" s="111">
        <f t="shared" ref="S97:S106" si="8">SUM(D97:R97)</f>
        <v>0.99999999999999989</v>
      </c>
    </row>
    <row r="98" spans="1:19" hidden="1" outlineLevel="1" x14ac:dyDescent="0.2">
      <c r="A98" s="36"/>
      <c r="B98" s="66">
        <f>'Expenses Summary'!B54</f>
        <v>0</v>
      </c>
      <c r="C98" s="66">
        <f>'Expenses Summary'!C54</f>
        <v>0</v>
      </c>
      <c r="D98" s="112">
        <f>'Cash Flow %s Yr3'!D98</f>
        <v>0</v>
      </c>
      <c r="E98" s="112">
        <f>'Cash Flow %s Yr3'!E98</f>
        <v>0</v>
      </c>
      <c r="F98" s="112">
        <f>'Cash Flow %s Yr3'!F98</f>
        <v>0.1</v>
      </c>
      <c r="G98" s="112">
        <f>'Cash Flow %s Yr3'!G98</f>
        <v>0.1</v>
      </c>
      <c r="H98" s="112">
        <f>'Cash Flow %s Yr3'!H98</f>
        <v>0.1</v>
      </c>
      <c r="I98" s="112">
        <f>'Cash Flow %s Yr3'!I98</f>
        <v>0.1</v>
      </c>
      <c r="J98" s="112">
        <f>'Cash Flow %s Yr3'!J98</f>
        <v>0.1</v>
      </c>
      <c r="K98" s="112">
        <f>'Cash Flow %s Yr3'!K98</f>
        <v>0.1</v>
      </c>
      <c r="L98" s="112">
        <f>'Cash Flow %s Yr3'!L98</f>
        <v>0.1</v>
      </c>
      <c r="M98" s="112">
        <f>'Cash Flow %s Yr3'!M98</f>
        <v>0.1</v>
      </c>
      <c r="N98" s="112">
        <f>'Cash Flow %s Yr3'!N98</f>
        <v>0.1</v>
      </c>
      <c r="O98" s="112">
        <f>'Cash Flow %s Yr3'!O98</f>
        <v>0.1</v>
      </c>
      <c r="P98" s="112">
        <f>'Cash Flow %s Yr3'!P98</f>
        <v>0</v>
      </c>
      <c r="Q98" s="112">
        <f>'Cash Flow %s Yr3'!Q98</f>
        <v>0</v>
      </c>
      <c r="R98" s="112">
        <f>'Cash Flow %s Yr3'!R98</f>
        <v>0</v>
      </c>
      <c r="S98" s="111">
        <f t="shared" si="8"/>
        <v>0.99999999999999989</v>
      </c>
    </row>
    <row r="99" spans="1:19" hidden="1" outlineLevel="1" x14ac:dyDescent="0.2">
      <c r="A99" s="36"/>
      <c r="B99" s="66">
        <f>'Expenses Summary'!B55</f>
        <v>0</v>
      </c>
      <c r="C99" s="66">
        <f>'Expenses Summary'!C55</f>
        <v>0</v>
      </c>
      <c r="D99" s="112">
        <f>'Cash Flow %s Yr3'!D99</f>
        <v>0</v>
      </c>
      <c r="E99" s="112">
        <f>'Cash Flow %s Yr3'!E99</f>
        <v>0</v>
      </c>
      <c r="F99" s="112">
        <f>'Cash Flow %s Yr3'!F99</f>
        <v>0.1</v>
      </c>
      <c r="G99" s="112">
        <f>'Cash Flow %s Yr3'!G99</f>
        <v>0.1</v>
      </c>
      <c r="H99" s="112">
        <f>'Cash Flow %s Yr3'!H99</f>
        <v>0.1</v>
      </c>
      <c r="I99" s="112">
        <f>'Cash Flow %s Yr3'!I99</f>
        <v>0.1</v>
      </c>
      <c r="J99" s="112">
        <f>'Cash Flow %s Yr3'!J99</f>
        <v>0.1</v>
      </c>
      <c r="K99" s="112">
        <f>'Cash Flow %s Yr3'!K99</f>
        <v>0.1</v>
      </c>
      <c r="L99" s="112">
        <f>'Cash Flow %s Yr3'!L99</f>
        <v>0.1</v>
      </c>
      <c r="M99" s="112">
        <f>'Cash Flow %s Yr3'!M99</f>
        <v>0.1</v>
      </c>
      <c r="N99" s="112">
        <f>'Cash Flow %s Yr3'!N99</f>
        <v>0.1</v>
      </c>
      <c r="O99" s="112">
        <f>'Cash Flow %s Yr3'!O99</f>
        <v>0.1</v>
      </c>
      <c r="P99" s="112">
        <f>'Cash Flow %s Yr3'!P99</f>
        <v>0</v>
      </c>
      <c r="Q99" s="112">
        <f>'Cash Flow %s Yr3'!Q99</f>
        <v>0</v>
      </c>
      <c r="R99" s="112">
        <f>'Cash Flow %s Yr3'!R99</f>
        <v>0</v>
      </c>
      <c r="S99" s="111">
        <f t="shared" si="8"/>
        <v>0.99999999999999989</v>
      </c>
    </row>
    <row r="100" spans="1:19" hidden="1" outlineLevel="1" x14ac:dyDescent="0.2">
      <c r="A100" s="36"/>
      <c r="B100" s="66">
        <f>'Expenses Summary'!B56</f>
        <v>0</v>
      </c>
      <c r="C100" s="66">
        <f>'Expenses Summary'!C56</f>
        <v>0</v>
      </c>
      <c r="D100" s="112">
        <f>'Cash Flow %s Yr3'!D100</f>
        <v>0</v>
      </c>
      <c r="E100" s="112">
        <f>'Cash Flow %s Yr3'!E100</f>
        <v>0</v>
      </c>
      <c r="F100" s="112">
        <f>'Cash Flow %s Yr3'!F100</f>
        <v>0.1</v>
      </c>
      <c r="G100" s="112">
        <f>'Cash Flow %s Yr3'!G100</f>
        <v>0.1</v>
      </c>
      <c r="H100" s="112">
        <f>'Cash Flow %s Yr3'!H100</f>
        <v>0.1</v>
      </c>
      <c r="I100" s="112">
        <f>'Cash Flow %s Yr3'!I100</f>
        <v>0.1</v>
      </c>
      <c r="J100" s="112">
        <f>'Cash Flow %s Yr3'!J100</f>
        <v>0.1</v>
      </c>
      <c r="K100" s="112">
        <f>'Cash Flow %s Yr3'!K100</f>
        <v>0.1</v>
      </c>
      <c r="L100" s="112">
        <f>'Cash Flow %s Yr3'!L100</f>
        <v>0.1</v>
      </c>
      <c r="M100" s="112">
        <f>'Cash Flow %s Yr3'!M100</f>
        <v>0.1</v>
      </c>
      <c r="N100" s="112">
        <f>'Cash Flow %s Yr3'!N100</f>
        <v>0.1</v>
      </c>
      <c r="O100" s="112">
        <f>'Cash Flow %s Yr3'!O100</f>
        <v>0.1</v>
      </c>
      <c r="P100" s="112">
        <f>'Cash Flow %s Yr3'!P100</f>
        <v>0</v>
      </c>
      <c r="Q100" s="112">
        <f>'Cash Flow %s Yr3'!Q100</f>
        <v>0</v>
      </c>
      <c r="R100" s="112">
        <f>'Cash Flow %s Yr3'!R100</f>
        <v>0</v>
      </c>
      <c r="S100" s="111">
        <f t="shared" si="8"/>
        <v>0.99999999999999989</v>
      </c>
    </row>
    <row r="101" spans="1:19" hidden="1" outlineLevel="1" x14ac:dyDescent="0.2">
      <c r="A101" s="36"/>
      <c r="B101" s="66">
        <f>'Expenses Summary'!B57</f>
        <v>0</v>
      </c>
      <c r="C101" s="66">
        <f>'Expenses Summary'!C57</f>
        <v>0</v>
      </c>
      <c r="D101" s="112">
        <f>'Cash Flow %s Yr3'!D101</f>
        <v>0</v>
      </c>
      <c r="E101" s="112">
        <f>'Cash Flow %s Yr3'!E101</f>
        <v>0</v>
      </c>
      <c r="F101" s="112">
        <f>'Cash Flow %s Yr3'!F101</f>
        <v>0.1</v>
      </c>
      <c r="G101" s="112">
        <f>'Cash Flow %s Yr3'!G101</f>
        <v>0.1</v>
      </c>
      <c r="H101" s="112">
        <f>'Cash Flow %s Yr3'!H101</f>
        <v>0.1</v>
      </c>
      <c r="I101" s="112">
        <f>'Cash Flow %s Yr3'!I101</f>
        <v>0.1</v>
      </c>
      <c r="J101" s="112">
        <f>'Cash Flow %s Yr3'!J101</f>
        <v>0.1</v>
      </c>
      <c r="K101" s="112">
        <f>'Cash Flow %s Yr3'!K101</f>
        <v>0.1</v>
      </c>
      <c r="L101" s="112">
        <f>'Cash Flow %s Yr3'!L101</f>
        <v>0.1</v>
      </c>
      <c r="M101" s="112">
        <f>'Cash Flow %s Yr3'!M101</f>
        <v>0.1</v>
      </c>
      <c r="N101" s="112">
        <f>'Cash Flow %s Yr3'!N101</f>
        <v>0.1</v>
      </c>
      <c r="O101" s="112">
        <f>'Cash Flow %s Yr3'!O101</f>
        <v>0.1</v>
      </c>
      <c r="P101" s="112">
        <f>'Cash Flow %s Yr3'!P101</f>
        <v>0</v>
      </c>
      <c r="Q101" s="112">
        <f>'Cash Flow %s Yr3'!Q101</f>
        <v>0</v>
      </c>
      <c r="R101" s="112">
        <f>'Cash Flow %s Yr3'!R101</f>
        <v>0</v>
      </c>
      <c r="S101" s="111">
        <f t="shared" si="8"/>
        <v>0.99999999999999989</v>
      </c>
    </row>
    <row r="102" spans="1:19" hidden="1" outlineLevel="1" x14ac:dyDescent="0.2">
      <c r="A102" s="36"/>
      <c r="B102" s="66">
        <f>'Expenses Summary'!B58</f>
        <v>0</v>
      </c>
      <c r="C102" s="66">
        <f>'Expenses Summary'!C58</f>
        <v>0</v>
      </c>
      <c r="D102" s="112">
        <f>'Cash Flow %s Yr3'!D102</f>
        <v>0</v>
      </c>
      <c r="E102" s="112">
        <f>'Cash Flow %s Yr3'!E102</f>
        <v>0</v>
      </c>
      <c r="F102" s="112">
        <f>'Cash Flow %s Yr3'!F102</f>
        <v>0.1</v>
      </c>
      <c r="G102" s="112">
        <f>'Cash Flow %s Yr3'!G102</f>
        <v>0.1</v>
      </c>
      <c r="H102" s="112">
        <f>'Cash Flow %s Yr3'!H102</f>
        <v>0.1</v>
      </c>
      <c r="I102" s="112">
        <f>'Cash Flow %s Yr3'!I102</f>
        <v>0.1</v>
      </c>
      <c r="J102" s="112">
        <f>'Cash Flow %s Yr3'!J102</f>
        <v>0.1</v>
      </c>
      <c r="K102" s="112">
        <f>'Cash Flow %s Yr3'!K102</f>
        <v>0.1</v>
      </c>
      <c r="L102" s="112">
        <f>'Cash Flow %s Yr3'!L102</f>
        <v>0.1</v>
      </c>
      <c r="M102" s="112">
        <f>'Cash Flow %s Yr3'!M102</f>
        <v>0.1</v>
      </c>
      <c r="N102" s="112">
        <f>'Cash Flow %s Yr3'!N102</f>
        <v>0.1</v>
      </c>
      <c r="O102" s="112">
        <f>'Cash Flow %s Yr3'!O102</f>
        <v>0.1</v>
      </c>
      <c r="P102" s="112">
        <f>'Cash Flow %s Yr3'!P102</f>
        <v>0</v>
      </c>
      <c r="Q102" s="112">
        <f>'Cash Flow %s Yr3'!Q102</f>
        <v>0</v>
      </c>
      <c r="R102" s="112">
        <f>'Cash Flow %s Yr3'!R102</f>
        <v>0</v>
      </c>
      <c r="S102" s="111">
        <f t="shared" si="8"/>
        <v>0.99999999999999989</v>
      </c>
    </row>
    <row r="103" spans="1:19" hidden="1" outlineLevel="1" x14ac:dyDescent="0.2">
      <c r="A103" s="36"/>
      <c r="B103" s="66">
        <f>'Expenses Summary'!B59</f>
        <v>0</v>
      </c>
      <c r="C103" s="66">
        <f>'Expenses Summary'!C59</f>
        <v>0</v>
      </c>
      <c r="D103" s="112">
        <f>'Cash Flow %s Yr3'!D103</f>
        <v>0</v>
      </c>
      <c r="E103" s="112">
        <f>'Cash Flow %s Yr3'!E103</f>
        <v>0</v>
      </c>
      <c r="F103" s="112">
        <f>'Cash Flow %s Yr3'!F103</f>
        <v>0.1</v>
      </c>
      <c r="G103" s="112">
        <f>'Cash Flow %s Yr3'!G103</f>
        <v>0.1</v>
      </c>
      <c r="H103" s="112">
        <f>'Cash Flow %s Yr3'!H103</f>
        <v>0.1</v>
      </c>
      <c r="I103" s="112">
        <f>'Cash Flow %s Yr3'!I103</f>
        <v>0.1</v>
      </c>
      <c r="J103" s="112">
        <f>'Cash Flow %s Yr3'!J103</f>
        <v>0.1</v>
      </c>
      <c r="K103" s="112">
        <f>'Cash Flow %s Yr3'!K103</f>
        <v>0.1</v>
      </c>
      <c r="L103" s="112">
        <f>'Cash Flow %s Yr3'!L103</f>
        <v>0.1</v>
      </c>
      <c r="M103" s="112">
        <f>'Cash Flow %s Yr3'!M103</f>
        <v>0.1</v>
      </c>
      <c r="N103" s="112">
        <f>'Cash Flow %s Yr3'!N103</f>
        <v>0.1</v>
      </c>
      <c r="O103" s="112">
        <f>'Cash Flow %s Yr3'!O103</f>
        <v>0.1</v>
      </c>
      <c r="P103" s="112">
        <f>'Cash Flow %s Yr3'!P103</f>
        <v>0</v>
      </c>
      <c r="Q103" s="112">
        <f>'Cash Flow %s Yr3'!Q103</f>
        <v>0</v>
      </c>
      <c r="R103" s="112">
        <f>'Cash Flow %s Yr3'!R103</f>
        <v>0</v>
      </c>
      <c r="S103" s="111">
        <f t="shared" si="8"/>
        <v>0.99999999999999989</v>
      </c>
    </row>
    <row r="104" spans="1:19" hidden="1" outlineLevel="1" x14ac:dyDescent="0.2">
      <c r="A104" s="36"/>
      <c r="B104" s="66">
        <f>'Expenses Summary'!B60</f>
        <v>0</v>
      </c>
      <c r="C104" s="66">
        <f>'Expenses Summary'!C60</f>
        <v>0</v>
      </c>
      <c r="D104" s="112">
        <f>'Cash Flow %s Yr3'!D104</f>
        <v>0</v>
      </c>
      <c r="E104" s="112">
        <f>'Cash Flow %s Yr3'!E104</f>
        <v>0</v>
      </c>
      <c r="F104" s="112">
        <f>'Cash Flow %s Yr3'!F104</f>
        <v>0.1</v>
      </c>
      <c r="G104" s="112">
        <f>'Cash Flow %s Yr3'!G104</f>
        <v>0.1</v>
      </c>
      <c r="H104" s="112">
        <f>'Cash Flow %s Yr3'!H104</f>
        <v>0.1</v>
      </c>
      <c r="I104" s="112">
        <f>'Cash Flow %s Yr3'!I104</f>
        <v>0.1</v>
      </c>
      <c r="J104" s="112">
        <f>'Cash Flow %s Yr3'!J104</f>
        <v>0.1</v>
      </c>
      <c r="K104" s="112">
        <f>'Cash Flow %s Yr3'!K104</f>
        <v>0.1</v>
      </c>
      <c r="L104" s="112">
        <f>'Cash Flow %s Yr3'!L104</f>
        <v>0.1</v>
      </c>
      <c r="M104" s="112">
        <f>'Cash Flow %s Yr3'!M104</f>
        <v>0.1</v>
      </c>
      <c r="N104" s="112">
        <f>'Cash Flow %s Yr3'!N104</f>
        <v>0.1</v>
      </c>
      <c r="O104" s="112">
        <f>'Cash Flow %s Yr3'!O104</f>
        <v>0.1</v>
      </c>
      <c r="P104" s="112">
        <f>'Cash Flow %s Yr3'!P104</f>
        <v>0</v>
      </c>
      <c r="Q104" s="112">
        <f>'Cash Flow %s Yr3'!Q104</f>
        <v>0</v>
      </c>
      <c r="R104" s="112">
        <f>'Cash Flow %s Yr3'!R104</f>
        <v>0</v>
      </c>
      <c r="S104" s="111">
        <f t="shared" si="8"/>
        <v>0.99999999999999989</v>
      </c>
    </row>
    <row r="105" spans="1:19" hidden="1" outlineLevel="1" x14ac:dyDescent="0.2">
      <c r="A105" s="36"/>
      <c r="B105" s="66">
        <f>'Expenses Summary'!B61</f>
        <v>0</v>
      </c>
      <c r="C105" s="66">
        <f>'Expenses Summary'!C61</f>
        <v>0</v>
      </c>
      <c r="D105" s="112">
        <f>'Cash Flow %s Yr3'!D105</f>
        <v>0</v>
      </c>
      <c r="E105" s="112">
        <f>'Cash Flow %s Yr3'!E105</f>
        <v>0</v>
      </c>
      <c r="F105" s="112">
        <f>'Cash Flow %s Yr3'!F105</f>
        <v>0.1</v>
      </c>
      <c r="G105" s="112">
        <f>'Cash Flow %s Yr3'!G105</f>
        <v>0.1</v>
      </c>
      <c r="H105" s="112">
        <f>'Cash Flow %s Yr3'!H105</f>
        <v>0.1</v>
      </c>
      <c r="I105" s="112">
        <f>'Cash Flow %s Yr3'!I105</f>
        <v>0.1</v>
      </c>
      <c r="J105" s="112">
        <f>'Cash Flow %s Yr3'!J105</f>
        <v>0.1</v>
      </c>
      <c r="K105" s="112">
        <f>'Cash Flow %s Yr3'!K105</f>
        <v>0.1</v>
      </c>
      <c r="L105" s="112">
        <f>'Cash Flow %s Yr3'!L105</f>
        <v>0.1</v>
      </c>
      <c r="M105" s="112">
        <f>'Cash Flow %s Yr3'!M105</f>
        <v>0.1</v>
      </c>
      <c r="N105" s="112">
        <f>'Cash Flow %s Yr3'!N105</f>
        <v>0.1</v>
      </c>
      <c r="O105" s="112">
        <f>'Cash Flow %s Yr3'!O105</f>
        <v>0.1</v>
      </c>
      <c r="P105" s="112">
        <f>'Cash Flow %s Yr3'!P105</f>
        <v>0</v>
      </c>
      <c r="Q105" s="112">
        <f>'Cash Flow %s Yr3'!Q105</f>
        <v>0</v>
      </c>
      <c r="R105" s="112">
        <f>'Cash Flow %s Yr3'!R105</f>
        <v>0</v>
      </c>
      <c r="S105" s="111">
        <f t="shared" si="8"/>
        <v>0.99999999999999989</v>
      </c>
    </row>
    <row r="106" spans="1:19" hidden="1" outlineLevel="1" x14ac:dyDescent="0.2">
      <c r="A106" s="36"/>
      <c r="B106" s="66">
        <f>'Expenses Summary'!B62</f>
        <v>0</v>
      </c>
      <c r="C106" s="66">
        <f>'Expenses Summary'!C62</f>
        <v>0</v>
      </c>
      <c r="D106" s="112">
        <f>'Cash Flow %s Yr3'!D106</f>
        <v>0</v>
      </c>
      <c r="E106" s="112">
        <f>'Cash Flow %s Yr3'!E106</f>
        <v>0</v>
      </c>
      <c r="F106" s="112">
        <f>'Cash Flow %s Yr3'!F106</f>
        <v>0.1</v>
      </c>
      <c r="G106" s="112">
        <f>'Cash Flow %s Yr3'!G106</f>
        <v>0.1</v>
      </c>
      <c r="H106" s="112">
        <f>'Cash Flow %s Yr3'!H106</f>
        <v>0.1</v>
      </c>
      <c r="I106" s="112">
        <f>'Cash Flow %s Yr3'!I106</f>
        <v>0.1</v>
      </c>
      <c r="J106" s="112">
        <f>'Cash Flow %s Yr3'!J106</f>
        <v>0.1</v>
      </c>
      <c r="K106" s="112">
        <f>'Cash Flow %s Yr3'!K106</f>
        <v>0.1</v>
      </c>
      <c r="L106" s="112">
        <f>'Cash Flow %s Yr3'!L106</f>
        <v>0.1</v>
      </c>
      <c r="M106" s="112">
        <f>'Cash Flow %s Yr3'!M106</f>
        <v>0.1</v>
      </c>
      <c r="N106" s="112">
        <f>'Cash Flow %s Yr3'!N106</f>
        <v>0.1</v>
      </c>
      <c r="O106" s="112">
        <f>'Cash Flow %s Yr3'!O106</f>
        <v>0.1</v>
      </c>
      <c r="P106" s="112">
        <f>'Cash Flow %s Yr3'!P106</f>
        <v>0</v>
      </c>
      <c r="Q106" s="112">
        <f>'Cash Flow %s Yr3'!Q106</f>
        <v>0</v>
      </c>
      <c r="R106" s="112">
        <f>'Cash Flow %s Yr3'!R106</f>
        <v>0</v>
      </c>
      <c r="S106" s="111">
        <f t="shared" si="8"/>
        <v>0.99999999999999989</v>
      </c>
    </row>
    <row r="107" spans="1:19" s="31" customFormat="1" collapsed="1" x14ac:dyDescent="0.2">
      <c r="A107" s="36"/>
      <c r="B107" s="66" t="str">
        <f>'Expenses Summary'!B63</f>
        <v>4700</v>
      </c>
      <c r="C107" s="66" t="str">
        <f>'Expenses Summary'!C63</f>
        <v>Food and Food Supplies</v>
      </c>
      <c r="D107" s="112">
        <f>'Cash Flow %s Yr3'!D107</f>
        <v>0</v>
      </c>
      <c r="E107" s="112">
        <f>'Cash Flow %s Yr3'!E107</f>
        <v>0</v>
      </c>
      <c r="F107" s="112">
        <f>'Cash Flow %s Yr3'!F107</f>
        <v>5.5E-2</v>
      </c>
      <c r="G107" s="112">
        <f>'Cash Flow %s Yr3'!G107</f>
        <v>0</v>
      </c>
      <c r="H107" s="112">
        <f>'Cash Flow %s Yr3'!H107</f>
        <v>0.1</v>
      </c>
      <c r="I107" s="112">
        <f>'Cash Flow %s Yr3'!I107</f>
        <v>0.1</v>
      </c>
      <c r="J107" s="112">
        <f>'Cash Flow %s Yr3'!J107</f>
        <v>0.1</v>
      </c>
      <c r="K107" s="112">
        <f>'Cash Flow %s Yr3'!K107</f>
        <v>0.1</v>
      </c>
      <c r="L107" s="112">
        <f>'Cash Flow %s Yr3'!L107</f>
        <v>0.1</v>
      </c>
      <c r="M107" s="112">
        <f>'Cash Flow %s Yr3'!M107</f>
        <v>0.1</v>
      </c>
      <c r="N107" s="112">
        <f>'Cash Flow %s Yr3'!N107</f>
        <v>0.1</v>
      </c>
      <c r="O107" s="112">
        <f>'Cash Flow %s Yr3'!O107</f>
        <v>0.1</v>
      </c>
      <c r="P107" s="112">
        <f>'Cash Flow %s Yr3'!P107</f>
        <v>0.1</v>
      </c>
      <c r="Q107" s="112">
        <f>'Cash Flow %s Yr3'!Q107</f>
        <v>4.4999999999999998E-2</v>
      </c>
      <c r="R107" s="112">
        <f>'Cash Flow %s Yr3'!R107</f>
        <v>0</v>
      </c>
      <c r="S107" s="111">
        <f>SUM(D107:R107)</f>
        <v>0.99999999999999989</v>
      </c>
    </row>
    <row r="108" spans="1:19" s="31" customFormat="1" x14ac:dyDescent="0.2">
      <c r="A108" s="36"/>
      <c r="B108" s="124"/>
      <c r="C108" s="93"/>
      <c r="D108" s="100"/>
      <c r="E108" s="100"/>
      <c r="F108" s="119"/>
      <c r="G108" s="119"/>
      <c r="H108" s="119"/>
      <c r="I108" s="119"/>
      <c r="J108" s="119"/>
      <c r="K108" s="119"/>
      <c r="L108" s="119"/>
      <c r="M108" s="119"/>
      <c r="N108" s="119"/>
      <c r="O108" s="119"/>
      <c r="P108" s="108"/>
      <c r="Q108" s="108"/>
      <c r="R108" s="108"/>
      <c r="S108" s="111"/>
    </row>
    <row r="109" spans="1:19" s="31" customFormat="1" x14ac:dyDescent="0.2">
      <c r="A109" s="36"/>
      <c r="B109" s="4"/>
      <c r="C109" s="3"/>
      <c r="D109" s="95"/>
      <c r="E109" s="95"/>
      <c r="F109" s="95"/>
      <c r="G109" s="95"/>
      <c r="H109" s="95"/>
      <c r="I109" s="95"/>
      <c r="J109" s="95"/>
      <c r="K109" s="95"/>
      <c r="L109" s="95"/>
      <c r="M109" s="95"/>
      <c r="N109" s="95"/>
      <c r="O109" s="95"/>
      <c r="P109" s="95"/>
      <c r="Q109" s="95"/>
      <c r="R109" s="95"/>
      <c r="S109" s="111"/>
    </row>
    <row r="110" spans="1:19" s="31" customFormat="1" x14ac:dyDescent="0.2">
      <c r="B110" s="5" t="s">
        <v>722</v>
      </c>
      <c r="C110" s="3"/>
      <c r="D110" s="95"/>
      <c r="E110" s="95"/>
      <c r="F110" s="95"/>
      <c r="G110" s="95"/>
      <c r="H110" s="95"/>
      <c r="I110" s="95"/>
      <c r="J110" s="95"/>
      <c r="K110" s="95"/>
      <c r="L110" s="95"/>
      <c r="M110" s="95"/>
      <c r="N110" s="95"/>
      <c r="O110" s="95"/>
      <c r="P110" s="95"/>
      <c r="Q110" s="95"/>
      <c r="R110" s="95"/>
      <c r="S110" s="111"/>
    </row>
    <row r="111" spans="1:19" s="31" customFormat="1" x14ac:dyDescent="0.2">
      <c r="A111" s="36"/>
      <c r="B111" s="66" t="str">
        <f>'Expenses Summary'!B67</f>
        <v>5200</v>
      </c>
      <c r="C111" s="66" t="str">
        <f>'Expenses Summary'!C67</f>
        <v>Travel and Conferences</v>
      </c>
      <c r="D111" s="112">
        <f>'Cash Flow %s Yr3'!D111</f>
        <v>0</v>
      </c>
      <c r="E111" s="112">
        <f>'Cash Flow %s Yr3'!E111</f>
        <v>0</v>
      </c>
      <c r="F111" s="112">
        <f>'Cash Flow %s Yr3'!F111</f>
        <v>0.3</v>
      </c>
      <c r="G111" s="112">
        <f>'Cash Flow %s Yr3'!G111</f>
        <v>0.1</v>
      </c>
      <c r="H111" s="112">
        <f>'Cash Flow %s Yr3'!H111</f>
        <v>0.1</v>
      </c>
      <c r="I111" s="112">
        <f>'Cash Flow %s Yr3'!I111</f>
        <v>0.1</v>
      </c>
      <c r="J111" s="112">
        <f>'Cash Flow %s Yr3'!J111</f>
        <v>0.1</v>
      </c>
      <c r="K111" s="112">
        <f>'Cash Flow %s Yr3'!K111</f>
        <v>0.1</v>
      </c>
      <c r="L111" s="112">
        <f>'Cash Flow %s Yr3'!L111</f>
        <v>0.1</v>
      </c>
      <c r="M111" s="112">
        <f>'Cash Flow %s Yr3'!M111</f>
        <v>0.1</v>
      </c>
      <c r="N111" s="112">
        <f>'Cash Flow %s Yr3'!N111</f>
        <v>0</v>
      </c>
      <c r="O111" s="112">
        <f>'Cash Flow %s Yr3'!O111</f>
        <v>0</v>
      </c>
      <c r="P111" s="112">
        <f>'Cash Flow %s Yr3'!P111</f>
        <v>0</v>
      </c>
      <c r="Q111" s="112">
        <f>'Cash Flow %s Yr3'!Q111</f>
        <v>0</v>
      </c>
      <c r="R111" s="112">
        <f>'Cash Flow %s Yr3'!R111</f>
        <v>0</v>
      </c>
      <c r="S111" s="111">
        <f t="shared" ref="S111:S141" si="9">SUM(D111:R111)</f>
        <v>0.99999999999999989</v>
      </c>
    </row>
    <row r="112" spans="1:19" s="31" customFormat="1" x14ac:dyDescent="0.2">
      <c r="A112" s="36"/>
      <c r="B112" s="66" t="str">
        <f>'Expenses Summary'!B68</f>
        <v>5210</v>
      </c>
      <c r="C112" s="66" t="str">
        <f>'Expenses Summary'!C68</f>
        <v>Training and Development Expense</v>
      </c>
      <c r="D112" s="112">
        <f>'Cash Flow %s Yr3'!D112</f>
        <v>0</v>
      </c>
      <c r="E112" s="112">
        <f>'Cash Flow %s Yr3'!E112</f>
        <v>0</v>
      </c>
      <c r="F112" s="112">
        <f>'Cash Flow %s Yr3'!F112</f>
        <v>0.9</v>
      </c>
      <c r="G112" s="112">
        <f>'Cash Flow %s Yr3'!G112</f>
        <v>0</v>
      </c>
      <c r="H112" s="112">
        <f>'Cash Flow %s Yr3'!H112</f>
        <v>0</v>
      </c>
      <c r="I112" s="112">
        <f>'Cash Flow %s Yr3'!I112</f>
        <v>0</v>
      </c>
      <c r="J112" s="112">
        <f>'Cash Flow %s Yr3'!J112</f>
        <v>0</v>
      </c>
      <c r="K112" s="112">
        <f>'Cash Flow %s Yr3'!K112</f>
        <v>0</v>
      </c>
      <c r="L112" s="112">
        <f>'Cash Flow %s Yr3'!L112</f>
        <v>0.1</v>
      </c>
      <c r="M112" s="112">
        <f>'Cash Flow %s Yr3'!M112</f>
        <v>0</v>
      </c>
      <c r="N112" s="112">
        <f>'Cash Flow %s Yr3'!N112</f>
        <v>0</v>
      </c>
      <c r="O112" s="112">
        <f>'Cash Flow %s Yr3'!O112</f>
        <v>0</v>
      </c>
      <c r="P112" s="112">
        <f>'Cash Flow %s Yr3'!P112</f>
        <v>0</v>
      </c>
      <c r="Q112" s="112">
        <f>'Cash Flow %s Yr3'!Q112</f>
        <v>0</v>
      </c>
      <c r="R112" s="112">
        <f>'Cash Flow %s Yr3'!R112</f>
        <v>0</v>
      </c>
      <c r="S112" s="111">
        <f t="shared" si="9"/>
        <v>1</v>
      </c>
    </row>
    <row r="113" spans="1:19" s="31" customFormat="1" x14ac:dyDescent="0.2">
      <c r="A113" s="36"/>
      <c r="B113" s="66" t="str">
        <f>'Expenses Summary'!B69</f>
        <v>5300</v>
      </c>
      <c r="C113" s="66" t="str">
        <f>'Expenses Summary'!C69</f>
        <v>Dues and Memberships</v>
      </c>
      <c r="D113" s="112">
        <f>'Cash Flow %s Yr3'!D113</f>
        <v>0</v>
      </c>
      <c r="E113" s="112">
        <f>'Cash Flow %s Yr3'!E113</f>
        <v>0</v>
      </c>
      <c r="F113" s="112">
        <f>'Cash Flow %s Yr3'!F113</f>
        <v>0.3</v>
      </c>
      <c r="G113" s="112">
        <f>'Cash Flow %s Yr3'!G113</f>
        <v>0.1</v>
      </c>
      <c r="H113" s="112">
        <f>'Cash Flow %s Yr3'!H113</f>
        <v>0.1</v>
      </c>
      <c r="I113" s="112">
        <f>'Cash Flow %s Yr3'!I113</f>
        <v>0.1</v>
      </c>
      <c r="J113" s="112">
        <f>'Cash Flow %s Yr3'!J113</f>
        <v>0.1</v>
      </c>
      <c r="K113" s="112">
        <f>'Cash Flow %s Yr3'!K113</f>
        <v>0.1</v>
      </c>
      <c r="L113" s="112">
        <f>'Cash Flow %s Yr3'!L113</f>
        <v>0.1</v>
      </c>
      <c r="M113" s="112">
        <f>'Cash Flow %s Yr3'!M113</f>
        <v>0.1</v>
      </c>
      <c r="N113" s="112">
        <f>'Cash Flow %s Yr3'!N113</f>
        <v>0</v>
      </c>
      <c r="O113" s="112">
        <f>'Cash Flow %s Yr3'!O113</f>
        <v>0</v>
      </c>
      <c r="P113" s="112">
        <f>'Cash Flow %s Yr3'!P113</f>
        <v>0</v>
      </c>
      <c r="Q113" s="112">
        <f>'Cash Flow %s Yr3'!Q113</f>
        <v>0</v>
      </c>
      <c r="R113" s="112">
        <f>'Cash Flow %s Yr3'!R113</f>
        <v>0</v>
      </c>
      <c r="S113" s="111">
        <f t="shared" si="9"/>
        <v>0.99999999999999989</v>
      </c>
    </row>
    <row r="114" spans="1:19" s="31" customFormat="1" x14ac:dyDescent="0.2">
      <c r="A114" s="36"/>
      <c r="B114" s="66" t="str">
        <f>'Expenses Summary'!B70</f>
        <v>5400</v>
      </c>
      <c r="C114" s="66" t="str">
        <f>'Expenses Summary'!C70</f>
        <v>Insurance</v>
      </c>
      <c r="D114" s="112">
        <f>'Cash Flow %s Yr3'!D114</f>
        <v>0</v>
      </c>
      <c r="E114" s="112">
        <f>'Cash Flow %s Yr3'!E114</f>
        <v>0</v>
      </c>
      <c r="F114" s="112">
        <f>'Cash Flow %s Yr3'!F114</f>
        <v>0.3</v>
      </c>
      <c r="G114" s="112">
        <f>'Cash Flow %s Yr3'!G114</f>
        <v>0.1</v>
      </c>
      <c r="H114" s="112">
        <f>'Cash Flow %s Yr3'!H114</f>
        <v>0.1</v>
      </c>
      <c r="I114" s="112">
        <f>'Cash Flow %s Yr3'!I114</f>
        <v>0.1</v>
      </c>
      <c r="J114" s="112">
        <f>'Cash Flow %s Yr3'!J114</f>
        <v>0.1</v>
      </c>
      <c r="K114" s="112">
        <f>'Cash Flow %s Yr3'!K114</f>
        <v>0.1</v>
      </c>
      <c r="L114" s="112">
        <f>'Cash Flow %s Yr3'!L114</f>
        <v>0.1</v>
      </c>
      <c r="M114" s="112">
        <f>'Cash Flow %s Yr3'!M114</f>
        <v>0.1</v>
      </c>
      <c r="N114" s="112">
        <f>'Cash Flow %s Yr3'!N114</f>
        <v>0</v>
      </c>
      <c r="O114" s="112">
        <f>'Cash Flow %s Yr3'!O114</f>
        <v>0</v>
      </c>
      <c r="P114" s="112">
        <f>'Cash Flow %s Yr3'!P114</f>
        <v>0</v>
      </c>
      <c r="Q114" s="112">
        <f>'Cash Flow %s Yr3'!Q114</f>
        <v>0</v>
      </c>
      <c r="R114" s="112">
        <f>'Cash Flow %s Yr3'!R114</f>
        <v>0</v>
      </c>
      <c r="S114" s="111">
        <f t="shared" si="9"/>
        <v>0.99999999999999989</v>
      </c>
    </row>
    <row r="115" spans="1:19" s="31" customFormat="1" x14ac:dyDescent="0.2">
      <c r="A115" s="36"/>
      <c r="B115" s="66" t="e">
        <f>'Expenses Summary'!#REF!</f>
        <v>#REF!</v>
      </c>
      <c r="C115" s="66" t="e">
        <f>'Expenses Summary'!#REF!</f>
        <v>#REF!</v>
      </c>
      <c r="D115" s="112">
        <f>'Cash Flow %s Yr3'!D115</f>
        <v>0</v>
      </c>
      <c r="E115" s="112">
        <f>'Cash Flow %s Yr3'!E115</f>
        <v>0</v>
      </c>
      <c r="F115" s="112">
        <f>'Cash Flow %s Yr3'!F115</f>
        <v>0.6</v>
      </c>
      <c r="G115" s="112">
        <f>'Cash Flow %s Yr3'!G115</f>
        <v>0</v>
      </c>
      <c r="H115" s="112">
        <f>'Cash Flow %s Yr3'!H115</f>
        <v>0</v>
      </c>
      <c r="I115" s="112">
        <f>'Cash Flow %s Yr3'!I115</f>
        <v>0</v>
      </c>
      <c r="J115" s="112">
        <f>'Cash Flow %s Yr3'!J115</f>
        <v>0.4</v>
      </c>
      <c r="K115" s="112">
        <f>'Cash Flow %s Yr3'!K115</f>
        <v>0</v>
      </c>
      <c r="L115" s="112">
        <f>'Cash Flow %s Yr3'!L115</f>
        <v>0</v>
      </c>
      <c r="M115" s="112">
        <f>'Cash Flow %s Yr3'!M115</f>
        <v>0</v>
      </c>
      <c r="N115" s="112">
        <f>'Cash Flow %s Yr3'!N115</f>
        <v>0</v>
      </c>
      <c r="O115" s="112">
        <f>'Cash Flow %s Yr3'!O115</f>
        <v>0</v>
      </c>
      <c r="P115" s="112">
        <f>'Cash Flow %s Yr3'!P115</f>
        <v>0</v>
      </c>
      <c r="Q115" s="112">
        <f>'Cash Flow %s Yr3'!Q115</f>
        <v>0</v>
      </c>
      <c r="R115" s="112">
        <f>'Cash Flow %s Yr3'!R115</f>
        <v>0</v>
      </c>
      <c r="S115" s="111">
        <f t="shared" si="9"/>
        <v>1</v>
      </c>
    </row>
    <row r="116" spans="1:19" s="31" customFormat="1" x14ac:dyDescent="0.2">
      <c r="A116" s="36"/>
      <c r="B116" s="66" t="str">
        <f>'Expenses Summary'!B71</f>
        <v>5500</v>
      </c>
      <c r="C116" s="66" t="str">
        <f>'Expenses Summary'!C71</f>
        <v>Operation and Housekeeping Services/Supplies</v>
      </c>
      <c r="D116" s="112">
        <f>'Cash Flow %s Yr3'!D116</f>
        <v>8.3000000000000004E-2</v>
      </c>
      <c r="E116" s="112">
        <f>'Cash Flow %s Yr3'!E116</f>
        <v>8.3000000000000004E-2</v>
      </c>
      <c r="F116" s="112">
        <f>'Cash Flow %s Yr3'!F116</f>
        <v>8.3000000000000004E-2</v>
      </c>
      <c r="G116" s="112">
        <f>'Cash Flow %s Yr3'!G116</f>
        <v>8.3000000000000004E-2</v>
      </c>
      <c r="H116" s="112">
        <f>'Cash Flow %s Yr3'!H116</f>
        <v>8.3000000000000004E-2</v>
      </c>
      <c r="I116" s="112">
        <f>'Cash Flow %s Yr3'!I116</f>
        <v>8.3000000000000004E-2</v>
      </c>
      <c r="J116" s="112">
        <f>'Cash Flow %s Yr3'!J116</f>
        <v>8.3000000000000004E-2</v>
      </c>
      <c r="K116" s="112">
        <f>'Cash Flow %s Yr3'!K116</f>
        <v>8.3000000000000004E-2</v>
      </c>
      <c r="L116" s="112">
        <f>'Cash Flow %s Yr3'!L116</f>
        <v>8.4000000000000005E-2</v>
      </c>
      <c r="M116" s="112">
        <f>'Cash Flow %s Yr3'!M116</f>
        <v>8.4000000000000005E-2</v>
      </c>
      <c r="N116" s="112">
        <f>'Cash Flow %s Yr3'!N116</f>
        <v>8.4000000000000005E-2</v>
      </c>
      <c r="O116" s="112">
        <f>'Cash Flow %s Yr3'!O116</f>
        <v>8.4000000000000005E-2</v>
      </c>
      <c r="P116" s="112">
        <f>'Cash Flow %s Yr3'!P116</f>
        <v>0</v>
      </c>
      <c r="Q116" s="112">
        <f>'Cash Flow %s Yr3'!Q116</f>
        <v>0</v>
      </c>
      <c r="R116" s="112">
        <f>'Cash Flow %s Yr3'!R116</f>
        <v>0</v>
      </c>
      <c r="S116" s="111">
        <f t="shared" si="9"/>
        <v>0.99999999999999989</v>
      </c>
    </row>
    <row r="117" spans="1:19" s="31" customFormat="1" x14ac:dyDescent="0.2">
      <c r="A117" s="36"/>
      <c r="B117" s="66" t="str">
        <f>'Expenses Summary'!B72</f>
        <v>5501</v>
      </c>
      <c r="C117" s="66" t="str">
        <f>'Expenses Summary'!C72</f>
        <v>Utilities</v>
      </c>
      <c r="D117" s="112">
        <f>'Cash Flow %s Yr3'!D117</f>
        <v>0</v>
      </c>
      <c r="E117" s="112">
        <f>'Cash Flow %s Yr3'!E117</f>
        <v>0</v>
      </c>
      <c r="F117" s="112">
        <f>'Cash Flow %s Yr3'!F117</f>
        <v>0.1</v>
      </c>
      <c r="G117" s="112">
        <f>'Cash Flow %s Yr3'!G117</f>
        <v>0.1</v>
      </c>
      <c r="H117" s="112">
        <f>'Cash Flow %s Yr3'!H117</f>
        <v>0.1</v>
      </c>
      <c r="I117" s="112">
        <f>'Cash Flow %s Yr3'!I117</f>
        <v>0.1</v>
      </c>
      <c r="J117" s="112">
        <f>'Cash Flow %s Yr3'!J117</f>
        <v>0.1</v>
      </c>
      <c r="K117" s="112">
        <f>'Cash Flow %s Yr3'!K117</f>
        <v>0.1</v>
      </c>
      <c r="L117" s="112">
        <f>'Cash Flow %s Yr3'!L117</f>
        <v>0.1</v>
      </c>
      <c r="M117" s="112">
        <f>'Cash Flow %s Yr3'!M117</f>
        <v>0.1</v>
      </c>
      <c r="N117" s="112">
        <f>'Cash Flow %s Yr3'!N117</f>
        <v>0.1</v>
      </c>
      <c r="O117" s="112">
        <f>'Cash Flow %s Yr3'!O117</f>
        <v>0.1</v>
      </c>
      <c r="P117" s="112">
        <f>'Cash Flow %s Yr3'!P117</f>
        <v>0</v>
      </c>
      <c r="Q117" s="112">
        <f>'Cash Flow %s Yr3'!Q117</f>
        <v>0</v>
      </c>
      <c r="R117" s="112">
        <f>'Cash Flow %s Yr3'!R117</f>
        <v>0</v>
      </c>
      <c r="S117" s="111">
        <f t="shared" si="9"/>
        <v>0.99999999999999989</v>
      </c>
    </row>
    <row r="118" spans="1:19" s="31" customFormat="1" x14ac:dyDescent="0.2">
      <c r="A118" s="36"/>
      <c r="B118" s="66" t="str">
        <f>'Expenses Summary'!B73</f>
        <v>5505</v>
      </c>
      <c r="C118" s="66" t="str">
        <f>'Expenses Summary'!C73</f>
        <v>Student Transportation / Field Trips</v>
      </c>
      <c r="D118" s="112">
        <f>'Cash Flow %s Yr3'!D118</f>
        <v>8.3000000000000004E-2</v>
      </c>
      <c r="E118" s="112">
        <f>'Cash Flow %s Yr3'!E118</f>
        <v>0.16700000000000001</v>
      </c>
      <c r="F118" s="112">
        <f>'Cash Flow %s Yr3'!F118</f>
        <v>8.3000000000000004E-2</v>
      </c>
      <c r="G118" s="112">
        <f>'Cash Flow %s Yr3'!G118</f>
        <v>8.3000000000000004E-2</v>
      </c>
      <c r="H118" s="112">
        <f>'Cash Flow %s Yr3'!H118</f>
        <v>8.3000000000000004E-2</v>
      </c>
      <c r="I118" s="112">
        <f>'Cash Flow %s Yr3'!I118</f>
        <v>8.3000000000000004E-2</v>
      </c>
      <c r="J118" s="112">
        <f>'Cash Flow %s Yr3'!J118</f>
        <v>8.3000000000000004E-2</v>
      </c>
      <c r="K118" s="112">
        <f>'Cash Flow %s Yr3'!K118</f>
        <v>8.3000000000000004E-2</v>
      </c>
      <c r="L118" s="112">
        <f>'Cash Flow %s Yr3'!L118</f>
        <v>8.4000000000000005E-2</v>
      </c>
      <c r="M118" s="112">
        <f>'Cash Flow %s Yr3'!M118</f>
        <v>8.4000000000000005E-2</v>
      </c>
      <c r="N118" s="112">
        <f>'Cash Flow %s Yr3'!N118</f>
        <v>8.4000000000000005E-2</v>
      </c>
      <c r="O118" s="112">
        <f>'Cash Flow %s Yr3'!O118</f>
        <v>0</v>
      </c>
      <c r="P118" s="112">
        <f>'Cash Flow %s Yr3'!P118</f>
        <v>0</v>
      </c>
      <c r="Q118" s="112">
        <f>'Cash Flow %s Yr3'!Q118</f>
        <v>0</v>
      </c>
      <c r="R118" s="112">
        <f>'Cash Flow %s Yr3'!R118</f>
        <v>0</v>
      </c>
      <c r="S118" s="111">
        <f t="shared" si="9"/>
        <v>0.99999999999999989</v>
      </c>
    </row>
    <row r="119" spans="1:19" s="31" customFormat="1" x14ac:dyDescent="0.2">
      <c r="A119" s="36"/>
      <c r="B119" s="66" t="str">
        <f>'Expenses Summary'!B74</f>
        <v>5600</v>
      </c>
      <c r="C119" s="66" t="str">
        <f>'Expenses Summary'!C74</f>
        <v>Space Rental/Leases Expense</v>
      </c>
      <c r="D119" s="112">
        <f>'Cash Flow %s Yr3'!D119</f>
        <v>0.05</v>
      </c>
      <c r="E119" s="112">
        <f>'Cash Flow %s Yr3'!E119</f>
        <v>0.05</v>
      </c>
      <c r="F119" s="112">
        <f>'Cash Flow %s Yr3'!F119</f>
        <v>0.09</v>
      </c>
      <c r="G119" s="112">
        <f>'Cash Flow %s Yr3'!G119</f>
        <v>0.09</v>
      </c>
      <c r="H119" s="112">
        <f>'Cash Flow %s Yr3'!H119</f>
        <v>0.09</v>
      </c>
      <c r="I119" s="112">
        <f>'Cash Flow %s Yr3'!I119</f>
        <v>0.09</v>
      </c>
      <c r="J119" s="112">
        <f>'Cash Flow %s Yr3'!J119</f>
        <v>0.09</v>
      </c>
      <c r="K119" s="112">
        <f>'Cash Flow %s Yr3'!K119</f>
        <v>0.09</v>
      </c>
      <c r="L119" s="112">
        <f>'Cash Flow %s Yr3'!L119</f>
        <v>0.09</v>
      </c>
      <c r="M119" s="112">
        <f>'Cash Flow %s Yr3'!M119</f>
        <v>0.09</v>
      </c>
      <c r="N119" s="112">
        <f>'Cash Flow %s Yr3'!N119</f>
        <v>0.09</v>
      </c>
      <c r="O119" s="112">
        <f>'Cash Flow %s Yr3'!O119</f>
        <v>0.09</v>
      </c>
      <c r="P119" s="112">
        <f>'Cash Flow %s Yr3'!P119</f>
        <v>0</v>
      </c>
      <c r="Q119" s="112">
        <f>'Cash Flow %s Yr3'!Q119</f>
        <v>0</v>
      </c>
      <c r="R119" s="112">
        <f>'Cash Flow %s Yr3'!R119</f>
        <v>0</v>
      </c>
      <c r="S119" s="111">
        <f t="shared" si="9"/>
        <v>0.99999999999999978</v>
      </c>
    </row>
    <row r="120" spans="1:19" s="31" customFormat="1" x14ac:dyDescent="0.2">
      <c r="A120" s="36"/>
      <c r="B120" s="66" t="str">
        <f>'Expenses Summary'!B75</f>
        <v>5601</v>
      </c>
      <c r="C120" s="66" t="str">
        <f>'Expenses Summary'!C75</f>
        <v>Building Maintenance</v>
      </c>
      <c r="D120" s="112">
        <f>'Cash Flow %s Yr3'!D120</f>
        <v>8.3000000000000004E-2</v>
      </c>
      <c r="E120" s="112">
        <f>'Cash Flow %s Yr3'!E120</f>
        <v>8.3000000000000004E-2</v>
      </c>
      <c r="F120" s="112">
        <f>'Cash Flow %s Yr3'!F120</f>
        <v>8.3000000000000004E-2</v>
      </c>
      <c r="G120" s="112">
        <f>'Cash Flow %s Yr3'!G120</f>
        <v>8.3000000000000004E-2</v>
      </c>
      <c r="H120" s="112">
        <f>'Cash Flow %s Yr3'!H120</f>
        <v>8.3000000000000004E-2</v>
      </c>
      <c r="I120" s="112">
        <f>'Cash Flow %s Yr3'!I120</f>
        <v>8.3000000000000004E-2</v>
      </c>
      <c r="J120" s="112">
        <f>'Cash Flow %s Yr3'!J120</f>
        <v>8.3000000000000004E-2</v>
      </c>
      <c r="K120" s="112">
        <f>'Cash Flow %s Yr3'!K120</f>
        <v>8.3000000000000004E-2</v>
      </c>
      <c r="L120" s="112">
        <f>'Cash Flow %s Yr3'!L120</f>
        <v>8.4000000000000005E-2</v>
      </c>
      <c r="M120" s="112">
        <f>'Cash Flow %s Yr3'!M120</f>
        <v>8.4000000000000005E-2</v>
      </c>
      <c r="N120" s="112">
        <f>'Cash Flow %s Yr3'!N120</f>
        <v>8.4000000000000005E-2</v>
      </c>
      <c r="O120" s="112">
        <f>'Cash Flow %s Yr3'!O120</f>
        <v>8.4000000000000005E-2</v>
      </c>
      <c r="P120" s="112">
        <f>'Cash Flow %s Yr3'!P120</f>
        <v>0</v>
      </c>
      <c r="Q120" s="112">
        <f>'Cash Flow %s Yr3'!Q120</f>
        <v>0</v>
      </c>
      <c r="R120" s="112">
        <f>'Cash Flow %s Yr3'!R120</f>
        <v>0</v>
      </c>
      <c r="S120" s="111">
        <f t="shared" si="9"/>
        <v>0.99999999999999989</v>
      </c>
    </row>
    <row r="121" spans="1:19" s="31" customFormat="1" x14ac:dyDescent="0.2">
      <c r="A121" s="36"/>
      <c r="B121" s="66" t="str">
        <f>'Expenses Summary'!B76</f>
        <v>5602</v>
      </c>
      <c r="C121" s="66" t="str">
        <f>'Expenses Summary'!C76</f>
        <v>Other Space Rental</v>
      </c>
      <c r="D121" s="112">
        <f>'Cash Flow %s Yr3'!D121</f>
        <v>8.3000000000000004E-2</v>
      </c>
      <c r="E121" s="112">
        <f>'Cash Flow %s Yr3'!E121</f>
        <v>8.3000000000000004E-2</v>
      </c>
      <c r="F121" s="112">
        <f>'Cash Flow %s Yr3'!F121</f>
        <v>8.3000000000000004E-2</v>
      </c>
      <c r="G121" s="112">
        <f>'Cash Flow %s Yr3'!G121</f>
        <v>8.3000000000000004E-2</v>
      </c>
      <c r="H121" s="112">
        <f>'Cash Flow %s Yr3'!H121</f>
        <v>8.3000000000000004E-2</v>
      </c>
      <c r="I121" s="112">
        <f>'Cash Flow %s Yr3'!I121</f>
        <v>8.3000000000000004E-2</v>
      </c>
      <c r="J121" s="112">
        <f>'Cash Flow %s Yr3'!J121</f>
        <v>8.3000000000000004E-2</v>
      </c>
      <c r="K121" s="112">
        <f>'Cash Flow %s Yr3'!K121</f>
        <v>8.3000000000000004E-2</v>
      </c>
      <c r="L121" s="112">
        <f>'Cash Flow %s Yr3'!L121</f>
        <v>8.4000000000000005E-2</v>
      </c>
      <c r="M121" s="112">
        <f>'Cash Flow %s Yr3'!M121</f>
        <v>8.4000000000000005E-2</v>
      </c>
      <c r="N121" s="112">
        <f>'Cash Flow %s Yr3'!N121</f>
        <v>8.4000000000000005E-2</v>
      </c>
      <c r="O121" s="112">
        <f>'Cash Flow %s Yr3'!O121</f>
        <v>8.4000000000000005E-2</v>
      </c>
      <c r="P121" s="112">
        <f>'Cash Flow %s Yr3'!P121</f>
        <v>0</v>
      </c>
      <c r="Q121" s="112">
        <f>'Cash Flow %s Yr3'!Q121</f>
        <v>0</v>
      </c>
      <c r="R121" s="112">
        <f>'Cash Flow %s Yr3'!R121</f>
        <v>0</v>
      </c>
      <c r="S121" s="111">
        <f t="shared" si="9"/>
        <v>0.99999999999999989</v>
      </c>
    </row>
    <row r="122" spans="1:19" s="31" customFormat="1" x14ac:dyDescent="0.2">
      <c r="A122" s="36"/>
      <c r="B122" s="66" t="str">
        <f>'Expenses Summary'!B77</f>
        <v>5605</v>
      </c>
      <c r="C122" s="66" t="str">
        <f>'Expenses Summary'!C77</f>
        <v>Equipment Rental/Lease Expense</v>
      </c>
      <c r="D122" s="112">
        <f>'Cash Flow %s Yr3'!D122</f>
        <v>0</v>
      </c>
      <c r="E122" s="112">
        <f>'Cash Flow %s Yr3'!E122</f>
        <v>0</v>
      </c>
      <c r="F122" s="112">
        <f>'Cash Flow %s Yr3'!F122</f>
        <v>0.1</v>
      </c>
      <c r="G122" s="112">
        <f>'Cash Flow %s Yr3'!G122</f>
        <v>0.1</v>
      </c>
      <c r="H122" s="112">
        <f>'Cash Flow %s Yr3'!H122</f>
        <v>0.1</v>
      </c>
      <c r="I122" s="112">
        <f>'Cash Flow %s Yr3'!I122</f>
        <v>0.1</v>
      </c>
      <c r="J122" s="112">
        <f>'Cash Flow %s Yr3'!J122</f>
        <v>0.1</v>
      </c>
      <c r="K122" s="112">
        <f>'Cash Flow %s Yr3'!K122</f>
        <v>0.1</v>
      </c>
      <c r="L122" s="112">
        <f>'Cash Flow %s Yr3'!L122</f>
        <v>0.1</v>
      </c>
      <c r="M122" s="112">
        <f>'Cash Flow %s Yr3'!M122</f>
        <v>0.1</v>
      </c>
      <c r="N122" s="112">
        <f>'Cash Flow %s Yr3'!N122</f>
        <v>0.1</v>
      </c>
      <c r="O122" s="112">
        <f>'Cash Flow %s Yr3'!O122</f>
        <v>0.1</v>
      </c>
      <c r="P122" s="112">
        <f>'Cash Flow %s Yr3'!P122</f>
        <v>0</v>
      </c>
      <c r="Q122" s="112">
        <f>'Cash Flow %s Yr3'!Q122</f>
        <v>0</v>
      </c>
      <c r="R122" s="112">
        <f>'Cash Flow %s Yr3'!R122</f>
        <v>0</v>
      </c>
      <c r="S122" s="111">
        <f t="shared" si="9"/>
        <v>0.99999999999999989</v>
      </c>
    </row>
    <row r="123" spans="1:19" s="31" customFormat="1" x14ac:dyDescent="0.2">
      <c r="A123" s="36"/>
      <c r="B123" s="66" t="str">
        <f>'Expenses Summary'!B78</f>
        <v>5610</v>
      </c>
      <c r="C123" s="66" t="str">
        <f>'Expenses Summary'!C78</f>
        <v>Equipment Repair</v>
      </c>
      <c r="D123" s="112">
        <f>'Cash Flow %s Yr3'!D123</f>
        <v>8.3000000000000004E-2</v>
      </c>
      <c r="E123" s="112">
        <f>'Cash Flow %s Yr3'!E123</f>
        <v>8.3000000000000004E-2</v>
      </c>
      <c r="F123" s="112">
        <f>'Cash Flow %s Yr3'!F123</f>
        <v>8.3000000000000004E-2</v>
      </c>
      <c r="G123" s="112">
        <f>'Cash Flow %s Yr3'!G123</f>
        <v>8.3000000000000004E-2</v>
      </c>
      <c r="H123" s="112">
        <f>'Cash Flow %s Yr3'!H123</f>
        <v>8.3000000000000004E-2</v>
      </c>
      <c r="I123" s="112">
        <f>'Cash Flow %s Yr3'!I123</f>
        <v>8.3000000000000004E-2</v>
      </c>
      <c r="J123" s="112">
        <f>'Cash Flow %s Yr3'!J123</f>
        <v>8.3000000000000004E-2</v>
      </c>
      <c r="K123" s="112">
        <f>'Cash Flow %s Yr3'!K123</f>
        <v>8.3000000000000004E-2</v>
      </c>
      <c r="L123" s="112">
        <f>'Cash Flow %s Yr3'!L123</f>
        <v>8.4000000000000005E-2</v>
      </c>
      <c r="M123" s="112">
        <f>'Cash Flow %s Yr3'!M123</f>
        <v>8.4000000000000005E-2</v>
      </c>
      <c r="N123" s="112">
        <f>'Cash Flow %s Yr3'!N123</f>
        <v>8.4000000000000005E-2</v>
      </c>
      <c r="O123" s="112">
        <f>'Cash Flow %s Yr3'!O123</f>
        <v>8.4000000000000005E-2</v>
      </c>
      <c r="P123" s="112">
        <f>'Cash Flow %s Yr3'!P123</f>
        <v>0</v>
      </c>
      <c r="Q123" s="112">
        <f>'Cash Flow %s Yr3'!Q123</f>
        <v>0</v>
      </c>
      <c r="R123" s="112">
        <f>'Cash Flow %s Yr3'!R123</f>
        <v>0</v>
      </c>
      <c r="S123" s="111">
        <f t="shared" si="9"/>
        <v>0.99999999999999989</v>
      </c>
    </row>
    <row r="124" spans="1:19" s="31" customFormat="1" x14ac:dyDescent="0.2">
      <c r="A124" s="36"/>
      <c r="B124" s="66" t="str">
        <f>'Expenses Summary'!B79</f>
        <v>5800</v>
      </c>
      <c r="C124" s="66" t="str">
        <f>'Expenses Summary'!C79</f>
        <v>Professional/Consulting Services and Operating Expenditures</v>
      </c>
      <c r="D124" s="112">
        <f>'Cash Flow %s Yr3'!D124</f>
        <v>0.05</v>
      </c>
      <c r="E124" s="112">
        <f>'Cash Flow %s Yr3'!E124</f>
        <v>0.05</v>
      </c>
      <c r="F124" s="112">
        <f>'Cash Flow %s Yr3'!F124</f>
        <v>0.09</v>
      </c>
      <c r="G124" s="112">
        <f>'Cash Flow %s Yr3'!G124</f>
        <v>0.09</v>
      </c>
      <c r="H124" s="112">
        <f>'Cash Flow %s Yr3'!H124</f>
        <v>0.09</v>
      </c>
      <c r="I124" s="112">
        <f>'Cash Flow %s Yr3'!I124</f>
        <v>0.09</v>
      </c>
      <c r="J124" s="112">
        <f>'Cash Flow %s Yr3'!J124</f>
        <v>0.09</v>
      </c>
      <c r="K124" s="112">
        <f>'Cash Flow %s Yr3'!K124</f>
        <v>0.09</v>
      </c>
      <c r="L124" s="112">
        <f>'Cash Flow %s Yr3'!L124</f>
        <v>0.09</v>
      </c>
      <c r="M124" s="112">
        <f>'Cash Flow %s Yr3'!M124</f>
        <v>0.09</v>
      </c>
      <c r="N124" s="112">
        <f>'Cash Flow %s Yr3'!N124</f>
        <v>0.09</v>
      </c>
      <c r="O124" s="112">
        <f>'Cash Flow %s Yr3'!O124</f>
        <v>0.09</v>
      </c>
      <c r="P124" s="112">
        <f>'Cash Flow %s Yr3'!P124</f>
        <v>0</v>
      </c>
      <c r="Q124" s="112">
        <f>'Cash Flow %s Yr3'!Q124</f>
        <v>0</v>
      </c>
      <c r="R124" s="112">
        <f>'Cash Flow %s Yr3'!R124</f>
        <v>0</v>
      </c>
      <c r="S124" s="111">
        <f t="shared" si="9"/>
        <v>0.99999999999999978</v>
      </c>
    </row>
    <row r="125" spans="1:19" s="31" customFormat="1" x14ac:dyDescent="0.2">
      <c r="A125" s="36"/>
      <c r="B125" s="66" t="str">
        <f>'Expenses Summary'!B80</f>
        <v>5803</v>
      </c>
      <c r="C125" s="66" t="str">
        <f>'Expenses Summary'!C80</f>
        <v>Banking and Payroll Service Fees</v>
      </c>
      <c r="D125" s="112">
        <f>'Cash Flow %s Yr3'!D125</f>
        <v>0.05</v>
      </c>
      <c r="E125" s="112">
        <f>'Cash Flow %s Yr3'!E125</f>
        <v>0.05</v>
      </c>
      <c r="F125" s="112">
        <f>'Cash Flow %s Yr3'!F125</f>
        <v>0.09</v>
      </c>
      <c r="G125" s="112">
        <f>'Cash Flow %s Yr3'!G125</f>
        <v>0.09</v>
      </c>
      <c r="H125" s="112">
        <f>'Cash Flow %s Yr3'!H125</f>
        <v>0.09</v>
      </c>
      <c r="I125" s="112">
        <f>'Cash Flow %s Yr3'!I125</f>
        <v>0.09</v>
      </c>
      <c r="J125" s="112">
        <f>'Cash Flow %s Yr3'!J125</f>
        <v>0.09</v>
      </c>
      <c r="K125" s="112">
        <f>'Cash Flow %s Yr3'!K125</f>
        <v>0.09</v>
      </c>
      <c r="L125" s="112">
        <f>'Cash Flow %s Yr3'!L125</f>
        <v>0.09</v>
      </c>
      <c r="M125" s="112">
        <f>'Cash Flow %s Yr3'!M125</f>
        <v>0.09</v>
      </c>
      <c r="N125" s="112">
        <f>'Cash Flow %s Yr3'!N125</f>
        <v>0.09</v>
      </c>
      <c r="O125" s="112">
        <f>'Cash Flow %s Yr3'!O125</f>
        <v>0.09</v>
      </c>
      <c r="P125" s="112">
        <f>'Cash Flow %s Yr3'!P125</f>
        <v>0</v>
      </c>
      <c r="Q125" s="112">
        <f>'Cash Flow %s Yr3'!Q125</f>
        <v>0</v>
      </c>
      <c r="R125" s="112">
        <f>'Cash Flow %s Yr3'!R125</f>
        <v>0</v>
      </c>
      <c r="S125" s="111">
        <f t="shared" si="9"/>
        <v>0.99999999999999978</v>
      </c>
    </row>
    <row r="126" spans="1:19" s="31" customFormat="1" x14ac:dyDescent="0.2">
      <c r="A126" s="36"/>
      <c r="B126" s="66" t="str">
        <f>'Expenses Summary'!B81</f>
        <v>5805</v>
      </c>
      <c r="C126" s="66" t="str">
        <f>'Expenses Summary'!C81</f>
        <v>Legal Services and Audit</v>
      </c>
      <c r="D126" s="112">
        <f>'Cash Flow %s Yr3'!D126</f>
        <v>0</v>
      </c>
      <c r="E126" s="112">
        <f>'Cash Flow %s Yr3'!E126</f>
        <v>0</v>
      </c>
      <c r="F126" s="112">
        <f>'Cash Flow %s Yr3'!F126</f>
        <v>0</v>
      </c>
      <c r="G126" s="112">
        <f>'Cash Flow %s Yr3'!G126</f>
        <v>0</v>
      </c>
      <c r="H126" s="112">
        <f>'Cash Flow %s Yr3'!H126</f>
        <v>0.125</v>
      </c>
      <c r="I126" s="112">
        <f>'Cash Flow %s Yr3'!I126</f>
        <v>0.125</v>
      </c>
      <c r="J126" s="112">
        <f>'Cash Flow %s Yr3'!J126</f>
        <v>0.125</v>
      </c>
      <c r="K126" s="112">
        <f>'Cash Flow %s Yr3'!K126</f>
        <v>0.125</v>
      </c>
      <c r="L126" s="112">
        <f>'Cash Flow %s Yr3'!L126</f>
        <v>0.125</v>
      </c>
      <c r="M126" s="112">
        <f>'Cash Flow %s Yr3'!M126</f>
        <v>0.125</v>
      </c>
      <c r="N126" s="112">
        <f>'Cash Flow %s Yr3'!N126</f>
        <v>0.125</v>
      </c>
      <c r="O126" s="112">
        <f>'Cash Flow %s Yr3'!O126</f>
        <v>0.125</v>
      </c>
      <c r="P126" s="112">
        <f>'Cash Flow %s Yr3'!P126</f>
        <v>0</v>
      </c>
      <c r="Q126" s="112">
        <f>'Cash Flow %s Yr3'!Q126</f>
        <v>0</v>
      </c>
      <c r="R126" s="112">
        <f>'Cash Flow %s Yr3'!R126</f>
        <v>0</v>
      </c>
      <c r="S126" s="111">
        <f t="shared" si="9"/>
        <v>1</v>
      </c>
    </row>
    <row r="127" spans="1:19" s="31" customFormat="1" x14ac:dyDescent="0.2">
      <c r="A127" s="36"/>
      <c r="B127" s="66" t="str">
        <f>'Expenses Summary'!B82</f>
        <v>5810</v>
      </c>
      <c r="C127" s="66" t="str">
        <f>'Expenses Summary'!C82</f>
        <v>Educational Consultants</v>
      </c>
      <c r="D127" s="112">
        <f>'Cash Flow %s Yr3'!D127</f>
        <v>0.05</v>
      </c>
      <c r="E127" s="112">
        <f>'Cash Flow %s Yr3'!E127</f>
        <v>0.05</v>
      </c>
      <c r="F127" s="112">
        <f>'Cash Flow %s Yr3'!F127</f>
        <v>0.09</v>
      </c>
      <c r="G127" s="112">
        <f>'Cash Flow %s Yr3'!G127</f>
        <v>0.09</v>
      </c>
      <c r="H127" s="112">
        <f>'Cash Flow %s Yr3'!H127</f>
        <v>0.09</v>
      </c>
      <c r="I127" s="112">
        <f>'Cash Flow %s Yr3'!I127</f>
        <v>0.09</v>
      </c>
      <c r="J127" s="112">
        <f>'Cash Flow %s Yr3'!J127</f>
        <v>0.09</v>
      </c>
      <c r="K127" s="112">
        <f>'Cash Flow %s Yr3'!K127</f>
        <v>0.09</v>
      </c>
      <c r="L127" s="112">
        <f>'Cash Flow %s Yr3'!L127</f>
        <v>0.09</v>
      </c>
      <c r="M127" s="112">
        <f>'Cash Flow %s Yr3'!M127</f>
        <v>0.09</v>
      </c>
      <c r="N127" s="112">
        <f>'Cash Flow %s Yr3'!N127</f>
        <v>0.09</v>
      </c>
      <c r="O127" s="112">
        <f>'Cash Flow %s Yr3'!O127</f>
        <v>0.09</v>
      </c>
      <c r="P127" s="112">
        <f>'Cash Flow %s Yr3'!P127</f>
        <v>0</v>
      </c>
      <c r="Q127" s="112">
        <f>'Cash Flow %s Yr3'!Q127</f>
        <v>0</v>
      </c>
      <c r="R127" s="112">
        <f>'Cash Flow %s Yr3'!R127</f>
        <v>0</v>
      </c>
      <c r="S127" s="111">
        <f t="shared" si="9"/>
        <v>0.99999999999999978</v>
      </c>
    </row>
    <row r="128" spans="1:19" s="31" customFormat="1" x14ac:dyDescent="0.2">
      <c r="A128" s="36"/>
      <c r="B128" s="66" t="str">
        <f>'Expenses Summary'!B83</f>
        <v>5815</v>
      </c>
      <c r="C128" s="66" t="str">
        <f>'Expenses Summary'!C83</f>
        <v>Advertising / Recruiting</v>
      </c>
      <c r="D128" s="112">
        <f>'Cash Flow %s Yr3'!D128</f>
        <v>0</v>
      </c>
      <c r="E128" s="112">
        <f>'Cash Flow %s Yr3'!E128</f>
        <v>0</v>
      </c>
      <c r="F128" s="112">
        <f>'Cash Flow %s Yr3'!F128</f>
        <v>0.1</v>
      </c>
      <c r="G128" s="112">
        <f>'Cash Flow %s Yr3'!G128</f>
        <v>0.1</v>
      </c>
      <c r="H128" s="112">
        <f>'Cash Flow %s Yr3'!H128</f>
        <v>0.1</v>
      </c>
      <c r="I128" s="112">
        <f>'Cash Flow %s Yr3'!I128</f>
        <v>0.1</v>
      </c>
      <c r="J128" s="112">
        <f>'Cash Flow %s Yr3'!J128</f>
        <v>0.1</v>
      </c>
      <c r="K128" s="112">
        <f>'Cash Flow %s Yr3'!K128</f>
        <v>0.1</v>
      </c>
      <c r="L128" s="112">
        <f>'Cash Flow %s Yr3'!L128</f>
        <v>0.1</v>
      </c>
      <c r="M128" s="112">
        <f>'Cash Flow %s Yr3'!M128</f>
        <v>0.1</v>
      </c>
      <c r="N128" s="112">
        <f>'Cash Flow %s Yr3'!N128</f>
        <v>0.1</v>
      </c>
      <c r="O128" s="112">
        <f>'Cash Flow %s Yr3'!O128</f>
        <v>0.1</v>
      </c>
      <c r="P128" s="112">
        <f>'Cash Flow %s Yr3'!P128</f>
        <v>0</v>
      </c>
      <c r="Q128" s="112">
        <f>'Cash Flow %s Yr3'!Q128</f>
        <v>0</v>
      </c>
      <c r="R128" s="112">
        <f>'Cash Flow %s Yr3'!R128</f>
        <v>0</v>
      </c>
      <c r="S128" s="111">
        <f t="shared" si="9"/>
        <v>0.99999999999999989</v>
      </c>
    </row>
    <row r="129" spans="1:19" s="31" customFormat="1" x14ac:dyDescent="0.2">
      <c r="A129" s="36"/>
      <c r="B129" s="66" t="str">
        <f>'Expenses Summary'!B84</f>
        <v>5820</v>
      </c>
      <c r="C129" s="66" t="str">
        <f>'Expenses Summary'!C84</f>
        <v>Fundraising Expense</v>
      </c>
      <c r="D129" s="112">
        <f>'Cash Flow %s Yr3'!D129</f>
        <v>0</v>
      </c>
      <c r="E129" s="112">
        <f>'Cash Flow %s Yr3'!E129</f>
        <v>0</v>
      </c>
      <c r="F129" s="112">
        <f>'Cash Flow %s Yr3'!F129</f>
        <v>0.1</v>
      </c>
      <c r="G129" s="112">
        <f>'Cash Flow %s Yr3'!G129</f>
        <v>0.1</v>
      </c>
      <c r="H129" s="112">
        <f>'Cash Flow %s Yr3'!H129</f>
        <v>0.1</v>
      </c>
      <c r="I129" s="112">
        <f>'Cash Flow %s Yr3'!I129</f>
        <v>0.1</v>
      </c>
      <c r="J129" s="112">
        <f>'Cash Flow %s Yr3'!J129</f>
        <v>0.1</v>
      </c>
      <c r="K129" s="112">
        <f>'Cash Flow %s Yr3'!K129</f>
        <v>0.1</v>
      </c>
      <c r="L129" s="112">
        <f>'Cash Flow %s Yr3'!L129</f>
        <v>0.1</v>
      </c>
      <c r="M129" s="112">
        <f>'Cash Flow %s Yr3'!M129</f>
        <v>0.1</v>
      </c>
      <c r="N129" s="112">
        <f>'Cash Flow %s Yr3'!N129</f>
        <v>0.1</v>
      </c>
      <c r="O129" s="112">
        <f>'Cash Flow %s Yr3'!O129</f>
        <v>0.1</v>
      </c>
      <c r="P129" s="112">
        <f>'Cash Flow %s Yr3'!P129</f>
        <v>0</v>
      </c>
      <c r="Q129" s="112">
        <f>'Cash Flow %s Yr3'!Q129</f>
        <v>0</v>
      </c>
      <c r="R129" s="112">
        <f>'Cash Flow %s Yr3'!R129</f>
        <v>0</v>
      </c>
      <c r="S129" s="111">
        <f t="shared" si="9"/>
        <v>0.99999999999999989</v>
      </c>
    </row>
    <row r="130" spans="1:19" s="31" customFormat="1" x14ac:dyDescent="0.2">
      <c r="A130" s="36"/>
      <c r="B130" s="66" t="str">
        <f>'Expenses Summary'!B85</f>
        <v>5875</v>
      </c>
      <c r="C130" s="66" t="str">
        <f>'Expenses Summary'!C85</f>
        <v>District Oversight Fee</v>
      </c>
      <c r="D130" s="112">
        <f>'Cash Flow %s Yr3'!D130</f>
        <v>0.23704389000000001</v>
      </c>
      <c r="E130" s="112">
        <f>'Cash Flow %s Yr3'!E130</f>
        <v>0</v>
      </c>
      <c r="F130" s="112">
        <f>'Cash Flow %s Yr3'!F130</f>
        <v>0</v>
      </c>
      <c r="G130" s="112">
        <f>'Cash Flow %s Yr3'!G130</f>
        <v>0</v>
      </c>
      <c r="H130" s="112">
        <f>'Cash Flow %s Yr3'!H130</f>
        <v>0.184235654</v>
      </c>
      <c r="I130" s="112">
        <f>'Cash Flow %s Yr3'!I130</f>
        <v>0</v>
      </c>
      <c r="J130" s="112">
        <f>'Cash Flow %s Yr3'!J130</f>
        <v>0.28936000000000001</v>
      </c>
      <c r="K130" s="112">
        <f>'Cash Flow %s Yr3'!K130</f>
        <v>0</v>
      </c>
      <c r="L130" s="112">
        <f>'Cash Flow %s Yr3'!L130</f>
        <v>0</v>
      </c>
      <c r="M130" s="112">
        <f>'Cash Flow %s Yr3'!M130</f>
        <v>0.28936000000000001</v>
      </c>
      <c r="N130" s="112">
        <f>'Cash Flow %s Yr3'!N130</f>
        <v>0</v>
      </c>
      <c r="O130" s="112">
        <f>'Cash Flow %s Yr3'!O130</f>
        <v>0</v>
      </c>
      <c r="P130" s="112">
        <f>'Cash Flow %s Yr3'!P130</f>
        <v>0</v>
      </c>
      <c r="Q130" s="112">
        <f>'Cash Flow %s Yr3'!Q130</f>
        <v>0</v>
      </c>
      <c r="R130" s="112">
        <f>'Cash Flow %s Yr3'!R130</f>
        <v>0</v>
      </c>
      <c r="S130" s="111">
        <f t="shared" si="9"/>
        <v>0.99999954400000002</v>
      </c>
    </row>
    <row r="131" spans="1:19" s="31" customFormat="1" x14ac:dyDescent="0.2">
      <c r="A131" s="36"/>
      <c r="B131" s="66" t="str">
        <f>'Expenses Summary'!B86</f>
        <v>5890</v>
      </c>
      <c r="C131" s="66" t="str">
        <f>'Expenses Summary'!C86</f>
        <v>Interest Expense / Misc. Fees</v>
      </c>
      <c r="D131" s="112">
        <f>'Cash Flow %s Yr3'!D131</f>
        <v>8.33285E-2</v>
      </c>
      <c r="E131" s="112">
        <f>'Cash Flow %s Yr3'!E131</f>
        <v>8.33285E-2</v>
      </c>
      <c r="F131" s="112">
        <f>'Cash Flow %s Yr3'!F131</f>
        <v>8.33285E-2</v>
      </c>
      <c r="G131" s="112">
        <f>'Cash Flow %s Yr3'!G131</f>
        <v>8.33285E-2</v>
      </c>
      <c r="H131" s="112">
        <f>'Cash Flow %s Yr3'!H131</f>
        <v>8.33285E-2</v>
      </c>
      <c r="I131" s="112">
        <f>'Cash Flow %s Yr3'!I131</f>
        <v>8.33285E-2</v>
      </c>
      <c r="J131" s="112">
        <f>'Cash Flow %s Yr3'!J131</f>
        <v>8.33285E-2</v>
      </c>
      <c r="K131" s="112">
        <f>'Cash Flow %s Yr3'!K131</f>
        <v>8.33285E-2</v>
      </c>
      <c r="L131" s="112">
        <f>'Cash Flow %s Yr3'!L131</f>
        <v>8.33285E-2</v>
      </c>
      <c r="M131" s="112">
        <f>'Cash Flow %s Yr3'!M131</f>
        <v>8.33285E-2</v>
      </c>
      <c r="N131" s="112">
        <f>'Cash Flow %s Yr3'!N131</f>
        <v>8.33285E-2</v>
      </c>
      <c r="O131" s="112">
        <f>'Cash Flow %s Yr3'!O131</f>
        <v>8.3386000000000002E-2</v>
      </c>
      <c r="P131" s="112">
        <f>'Cash Flow %s Yr3'!P131</f>
        <v>0</v>
      </c>
      <c r="Q131" s="112">
        <f>'Cash Flow %s Yr3'!Q131</f>
        <v>0</v>
      </c>
      <c r="R131" s="112">
        <f>'Cash Flow %s Yr3'!R131</f>
        <v>0</v>
      </c>
      <c r="S131" s="111">
        <f t="shared" si="9"/>
        <v>0.99999950000000015</v>
      </c>
    </row>
    <row r="132" spans="1:19" s="31" customFormat="1" x14ac:dyDescent="0.2">
      <c r="A132" s="36"/>
      <c r="B132" s="66" t="str">
        <f>'Expenses Summary'!B87</f>
        <v>5891</v>
      </c>
      <c r="C132" s="66" t="str">
        <f>'Expenses Summary'!C87</f>
        <v>Charter School Capital Fees</v>
      </c>
      <c r="D132" s="112">
        <f>'Cash Flow %s Yr3'!D132</f>
        <v>8.3000000000000004E-2</v>
      </c>
      <c r="E132" s="112">
        <f>'Cash Flow %s Yr3'!E132</f>
        <v>8.3000000000000004E-2</v>
      </c>
      <c r="F132" s="112">
        <f>'Cash Flow %s Yr3'!F132</f>
        <v>8.3000000000000004E-2</v>
      </c>
      <c r="G132" s="112">
        <f>'Cash Flow %s Yr3'!G132</f>
        <v>8.3000000000000004E-2</v>
      </c>
      <c r="H132" s="112">
        <f>'Cash Flow %s Yr3'!H132</f>
        <v>8.3000000000000004E-2</v>
      </c>
      <c r="I132" s="112">
        <f>'Cash Flow %s Yr3'!I132</f>
        <v>8.3000000000000004E-2</v>
      </c>
      <c r="J132" s="112">
        <f>'Cash Flow %s Yr3'!J132</f>
        <v>8.3000000000000004E-2</v>
      </c>
      <c r="K132" s="112">
        <f>'Cash Flow %s Yr3'!K132</f>
        <v>8.3000000000000004E-2</v>
      </c>
      <c r="L132" s="112">
        <f>'Cash Flow %s Yr3'!L132</f>
        <v>8.4000000000000005E-2</v>
      </c>
      <c r="M132" s="112">
        <f>'Cash Flow %s Yr3'!M132</f>
        <v>8.4000000000000005E-2</v>
      </c>
      <c r="N132" s="112">
        <f>'Cash Flow %s Yr3'!N132</f>
        <v>8.4000000000000005E-2</v>
      </c>
      <c r="O132" s="112">
        <f>'Cash Flow %s Yr3'!O132</f>
        <v>8.4000000000000005E-2</v>
      </c>
      <c r="P132" s="112">
        <f>'Cash Flow %s Yr3'!P132</f>
        <v>0</v>
      </c>
      <c r="Q132" s="112">
        <f>'Cash Flow %s Yr3'!Q132</f>
        <v>0</v>
      </c>
      <c r="R132" s="112">
        <f>'Cash Flow %s Yr3'!R132</f>
        <v>0</v>
      </c>
      <c r="S132" s="111">
        <f t="shared" si="9"/>
        <v>0.99999999999999989</v>
      </c>
    </row>
    <row r="133" spans="1:19" s="31" customFormat="1" hidden="1" outlineLevel="1" x14ac:dyDescent="0.2">
      <c r="A133" s="36"/>
      <c r="B133" s="66" t="str">
        <f>'Expenses Summary'!B88</f>
        <v>5899</v>
      </c>
      <c r="C133" s="66" t="str">
        <f>'Expenses Summary'!C88</f>
        <v>CMO Management Fee</v>
      </c>
      <c r="D133" s="112">
        <f>'Cash Flow %s Yr3'!D133</f>
        <v>0</v>
      </c>
      <c r="E133" s="112">
        <f>'Cash Flow %s Yr3'!E133</f>
        <v>0</v>
      </c>
      <c r="F133" s="112">
        <f>'Cash Flow %s Yr3'!F133</f>
        <v>0.1</v>
      </c>
      <c r="G133" s="112">
        <f>'Cash Flow %s Yr3'!G133</f>
        <v>0.1</v>
      </c>
      <c r="H133" s="112">
        <f>'Cash Flow %s Yr3'!H133</f>
        <v>0.1</v>
      </c>
      <c r="I133" s="112">
        <f>'Cash Flow %s Yr3'!I133</f>
        <v>0.1</v>
      </c>
      <c r="J133" s="112">
        <f>'Cash Flow %s Yr3'!J133</f>
        <v>0.1</v>
      </c>
      <c r="K133" s="112">
        <f>'Cash Flow %s Yr3'!K133</f>
        <v>0.1</v>
      </c>
      <c r="L133" s="112">
        <f>'Cash Flow %s Yr3'!L133</f>
        <v>0.1</v>
      </c>
      <c r="M133" s="112">
        <f>'Cash Flow %s Yr3'!M133</f>
        <v>0.1</v>
      </c>
      <c r="N133" s="112">
        <f>'Cash Flow %s Yr3'!N133</f>
        <v>0.1</v>
      </c>
      <c r="O133" s="112">
        <f>'Cash Flow %s Yr3'!O133</f>
        <v>0.1</v>
      </c>
      <c r="P133" s="112">
        <f>'Cash Flow %s Yr3'!P133</f>
        <v>0</v>
      </c>
      <c r="Q133" s="112">
        <f>'Cash Flow %s Yr3'!Q133</f>
        <v>0</v>
      </c>
      <c r="R133" s="112">
        <f>'Cash Flow %s Yr3'!R133</f>
        <v>0</v>
      </c>
      <c r="S133" s="111">
        <f t="shared" si="9"/>
        <v>0.99999999999999989</v>
      </c>
    </row>
    <row r="134" spans="1:19" s="31" customFormat="1" hidden="1" outlineLevel="1" x14ac:dyDescent="0.2">
      <c r="A134" s="36"/>
      <c r="B134" s="66" t="str">
        <f>'Expenses Summary'!B89</f>
        <v>5900</v>
      </c>
      <c r="C134" s="66" t="str">
        <f>'Expenses Summary'!C89</f>
        <v>Communications</v>
      </c>
      <c r="D134" s="112">
        <f>'Cash Flow %s Yr3'!D134</f>
        <v>0</v>
      </c>
      <c r="E134" s="112">
        <f>'Cash Flow %s Yr3'!E134</f>
        <v>0</v>
      </c>
      <c r="F134" s="112">
        <f>'Cash Flow %s Yr3'!F134</f>
        <v>0.1</v>
      </c>
      <c r="G134" s="112">
        <f>'Cash Flow %s Yr3'!G134</f>
        <v>0.1</v>
      </c>
      <c r="H134" s="112">
        <f>'Cash Flow %s Yr3'!H134</f>
        <v>0.1</v>
      </c>
      <c r="I134" s="112">
        <f>'Cash Flow %s Yr3'!I134</f>
        <v>0.1</v>
      </c>
      <c r="J134" s="112">
        <f>'Cash Flow %s Yr3'!J134</f>
        <v>0.1</v>
      </c>
      <c r="K134" s="112">
        <f>'Cash Flow %s Yr3'!K134</f>
        <v>0.1</v>
      </c>
      <c r="L134" s="112">
        <f>'Cash Flow %s Yr3'!L134</f>
        <v>0.1</v>
      </c>
      <c r="M134" s="112">
        <f>'Cash Flow %s Yr3'!M134</f>
        <v>0.1</v>
      </c>
      <c r="N134" s="112">
        <f>'Cash Flow %s Yr3'!N134</f>
        <v>0.1</v>
      </c>
      <c r="O134" s="112">
        <f>'Cash Flow %s Yr3'!O134</f>
        <v>0.1</v>
      </c>
      <c r="P134" s="112">
        <f>'Cash Flow %s Yr3'!P134</f>
        <v>0</v>
      </c>
      <c r="Q134" s="112">
        <f>'Cash Flow %s Yr3'!Q134</f>
        <v>0</v>
      </c>
      <c r="R134" s="112">
        <f>'Cash Flow %s Yr3'!R134</f>
        <v>0</v>
      </c>
      <c r="S134" s="111">
        <f t="shared" si="9"/>
        <v>0.99999999999999989</v>
      </c>
    </row>
    <row r="135" spans="1:19" s="31" customFormat="1" hidden="1" outlineLevel="1" x14ac:dyDescent="0.2">
      <c r="A135" s="36"/>
      <c r="B135" s="66">
        <f>'Expenses Summary'!B90</f>
        <v>0</v>
      </c>
      <c r="C135" s="66">
        <f>'Expenses Summary'!C90</f>
        <v>0</v>
      </c>
      <c r="D135" s="112">
        <f>'Cash Flow %s Yr3'!D135</f>
        <v>0</v>
      </c>
      <c r="E135" s="112">
        <f>'Cash Flow %s Yr3'!E135</f>
        <v>0</v>
      </c>
      <c r="F135" s="112">
        <f>'Cash Flow %s Yr3'!F135</f>
        <v>0.1</v>
      </c>
      <c r="G135" s="112">
        <f>'Cash Flow %s Yr3'!G135</f>
        <v>0.1</v>
      </c>
      <c r="H135" s="112">
        <f>'Cash Flow %s Yr3'!H135</f>
        <v>0.1</v>
      </c>
      <c r="I135" s="112">
        <f>'Cash Flow %s Yr3'!I135</f>
        <v>0.1</v>
      </c>
      <c r="J135" s="112">
        <f>'Cash Flow %s Yr3'!J135</f>
        <v>0.1</v>
      </c>
      <c r="K135" s="112">
        <f>'Cash Flow %s Yr3'!K135</f>
        <v>0.1</v>
      </c>
      <c r="L135" s="112">
        <f>'Cash Flow %s Yr3'!L135</f>
        <v>0.1</v>
      </c>
      <c r="M135" s="112">
        <f>'Cash Flow %s Yr3'!M135</f>
        <v>0.1</v>
      </c>
      <c r="N135" s="112">
        <f>'Cash Flow %s Yr3'!N135</f>
        <v>0.1</v>
      </c>
      <c r="O135" s="112">
        <f>'Cash Flow %s Yr3'!O135</f>
        <v>0.1</v>
      </c>
      <c r="P135" s="112">
        <f>'Cash Flow %s Yr3'!P135</f>
        <v>0</v>
      </c>
      <c r="Q135" s="112">
        <f>'Cash Flow %s Yr3'!Q135</f>
        <v>0</v>
      </c>
      <c r="R135" s="112">
        <f>'Cash Flow %s Yr3'!R135</f>
        <v>0</v>
      </c>
      <c r="S135" s="111">
        <f t="shared" si="9"/>
        <v>0.99999999999999989</v>
      </c>
    </row>
    <row r="136" spans="1:19" s="31" customFormat="1" hidden="1" outlineLevel="1" x14ac:dyDescent="0.2">
      <c r="A136" s="36"/>
      <c r="B136" s="66">
        <f>'Expenses Summary'!B91</f>
        <v>0</v>
      </c>
      <c r="C136" s="66">
        <f>'Expenses Summary'!C91</f>
        <v>0</v>
      </c>
      <c r="D136" s="112">
        <f>'Cash Flow %s Yr3'!D136</f>
        <v>0</v>
      </c>
      <c r="E136" s="112">
        <f>'Cash Flow %s Yr3'!E136</f>
        <v>0</v>
      </c>
      <c r="F136" s="112">
        <f>'Cash Flow %s Yr3'!F136</f>
        <v>0.1</v>
      </c>
      <c r="G136" s="112">
        <f>'Cash Flow %s Yr3'!G136</f>
        <v>0.1</v>
      </c>
      <c r="H136" s="112">
        <f>'Cash Flow %s Yr3'!H136</f>
        <v>0.1</v>
      </c>
      <c r="I136" s="112">
        <f>'Cash Flow %s Yr3'!I136</f>
        <v>0.1</v>
      </c>
      <c r="J136" s="112">
        <f>'Cash Flow %s Yr3'!J136</f>
        <v>0.1</v>
      </c>
      <c r="K136" s="112">
        <f>'Cash Flow %s Yr3'!K136</f>
        <v>0.1</v>
      </c>
      <c r="L136" s="112">
        <f>'Cash Flow %s Yr3'!L136</f>
        <v>0.1</v>
      </c>
      <c r="M136" s="112">
        <f>'Cash Flow %s Yr3'!M136</f>
        <v>0.1</v>
      </c>
      <c r="N136" s="112">
        <f>'Cash Flow %s Yr3'!N136</f>
        <v>0.1</v>
      </c>
      <c r="O136" s="112">
        <f>'Cash Flow %s Yr3'!O136</f>
        <v>0.1</v>
      </c>
      <c r="P136" s="112">
        <f>'Cash Flow %s Yr3'!P136</f>
        <v>0</v>
      </c>
      <c r="Q136" s="112">
        <f>'Cash Flow %s Yr3'!Q136</f>
        <v>0</v>
      </c>
      <c r="R136" s="112">
        <f>'Cash Flow %s Yr3'!R136</f>
        <v>0</v>
      </c>
      <c r="S136" s="111">
        <f t="shared" si="9"/>
        <v>0.99999999999999989</v>
      </c>
    </row>
    <row r="137" spans="1:19" s="31" customFormat="1" hidden="1" outlineLevel="1" x14ac:dyDescent="0.2">
      <c r="A137" s="36"/>
      <c r="B137" s="66">
        <f>'Expenses Summary'!B92</f>
        <v>0</v>
      </c>
      <c r="C137" s="66">
        <f>'Expenses Summary'!C92</f>
        <v>0</v>
      </c>
      <c r="D137" s="112">
        <f>'Cash Flow %s Yr3'!D137</f>
        <v>0</v>
      </c>
      <c r="E137" s="112">
        <f>'Cash Flow %s Yr3'!E137</f>
        <v>0</v>
      </c>
      <c r="F137" s="112">
        <f>'Cash Flow %s Yr3'!F137</f>
        <v>0.1</v>
      </c>
      <c r="G137" s="112">
        <f>'Cash Flow %s Yr3'!G137</f>
        <v>0.1</v>
      </c>
      <c r="H137" s="112">
        <f>'Cash Flow %s Yr3'!H137</f>
        <v>0.1</v>
      </c>
      <c r="I137" s="112">
        <f>'Cash Flow %s Yr3'!I137</f>
        <v>0.1</v>
      </c>
      <c r="J137" s="112">
        <f>'Cash Flow %s Yr3'!J137</f>
        <v>0.1</v>
      </c>
      <c r="K137" s="112">
        <f>'Cash Flow %s Yr3'!K137</f>
        <v>0.1</v>
      </c>
      <c r="L137" s="112">
        <f>'Cash Flow %s Yr3'!L137</f>
        <v>0.1</v>
      </c>
      <c r="M137" s="112">
        <f>'Cash Flow %s Yr3'!M137</f>
        <v>0.1</v>
      </c>
      <c r="N137" s="112">
        <f>'Cash Flow %s Yr3'!N137</f>
        <v>0.1</v>
      </c>
      <c r="O137" s="112">
        <f>'Cash Flow %s Yr3'!O137</f>
        <v>0.1</v>
      </c>
      <c r="P137" s="112">
        <f>'Cash Flow %s Yr3'!P137</f>
        <v>0</v>
      </c>
      <c r="Q137" s="112">
        <f>'Cash Flow %s Yr3'!Q137</f>
        <v>0</v>
      </c>
      <c r="R137" s="112">
        <f>'Cash Flow %s Yr3'!R137</f>
        <v>0</v>
      </c>
      <c r="S137" s="111">
        <f t="shared" si="9"/>
        <v>0.99999999999999989</v>
      </c>
    </row>
    <row r="138" spans="1:19" s="31" customFormat="1" hidden="1" outlineLevel="1" x14ac:dyDescent="0.2">
      <c r="A138" s="36"/>
      <c r="B138" s="66">
        <f>'Expenses Summary'!B93</f>
        <v>0</v>
      </c>
      <c r="C138" s="66">
        <f>'Expenses Summary'!C93</f>
        <v>0</v>
      </c>
      <c r="D138" s="112">
        <f>'Cash Flow %s Yr3'!D138</f>
        <v>0</v>
      </c>
      <c r="E138" s="112">
        <f>'Cash Flow %s Yr3'!E138</f>
        <v>0</v>
      </c>
      <c r="F138" s="112">
        <f>'Cash Flow %s Yr3'!F138</f>
        <v>0.1</v>
      </c>
      <c r="G138" s="112">
        <f>'Cash Flow %s Yr3'!G138</f>
        <v>0.1</v>
      </c>
      <c r="H138" s="112">
        <f>'Cash Flow %s Yr3'!H138</f>
        <v>0.1</v>
      </c>
      <c r="I138" s="112">
        <f>'Cash Flow %s Yr3'!I138</f>
        <v>0.1</v>
      </c>
      <c r="J138" s="112">
        <f>'Cash Flow %s Yr3'!J138</f>
        <v>0.1</v>
      </c>
      <c r="K138" s="112">
        <f>'Cash Flow %s Yr3'!K138</f>
        <v>0.1</v>
      </c>
      <c r="L138" s="112">
        <f>'Cash Flow %s Yr3'!L138</f>
        <v>0.1</v>
      </c>
      <c r="M138" s="112">
        <f>'Cash Flow %s Yr3'!M138</f>
        <v>0.1</v>
      </c>
      <c r="N138" s="112">
        <f>'Cash Flow %s Yr3'!N138</f>
        <v>0.1</v>
      </c>
      <c r="O138" s="112">
        <f>'Cash Flow %s Yr3'!O138</f>
        <v>0.1</v>
      </c>
      <c r="P138" s="112">
        <f>'Cash Flow %s Yr3'!P138</f>
        <v>0</v>
      </c>
      <c r="Q138" s="112">
        <f>'Cash Flow %s Yr3'!Q138</f>
        <v>0</v>
      </c>
      <c r="R138" s="112">
        <f>'Cash Flow %s Yr3'!R138</f>
        <v>0</v>
      </c>
      <c r="S138" s="111">
        <f t="shared" si="9"/>
        <v>0.99999999999999989</v>
      </c>
    </row>
    <row r="139" spans="1:19" s="31" customFormat="1" hidden="1" outlineLevel="1" x14ac:dyDescent="0.2">
      <c r="A139" s="36"/>
      <c r="B139" s="66">
        <f>'Expenses Summary'!B94</f>
        <v>0</v>
      </c>
      <c r="C139" s="66">
        <f>'Expenses Summary'!C94</f>
        <v>0</v>
      </c>
      <c r="D139" s="112">
        <f>'Cash Flow %s Yr3'!D139</f>
        <v>0</v>
      </c>
      <c r="E139" s="112">
        <f>'Cash Flow %s Yr3'!E139</f>
        <v>0</v>
      </c>
      <c r="F139" s="112">
        <f>'Cash Flow %s Yr3'!F139</f>
        <v>0.1</v>
      </c>
      <c r="G139" s="112">
        <f>'Cash Flow %s Yr3'!G139</f>
        <v>0.1</v>
      </c>
      <c r="H139" s="112">
        <f>'Cash Flow %s Yr3'!H139</f>
        <v>0.1</v>
      </c>
      <c r="I139" s="112">
        <f>'Cash Flow %s Yr3'!I139</f>
        <v>0.1</v>
      </c>
      <c r="J139" s="112">
        <f>'Cash Flow %s Yr3'!J139</f>
        <v>0.1</v>
      </c>
      <c r="K139" s="112">
        <f>'Cash Flow %s Yr3'!K139</f>
        <v>0.1</v>
      </c>
      <c r="L139" s="112">
        <f>'Cash Flow %s Yr3'!L139</f>
        <v>0.1</v>
      </c>
      <c r="M139" s="112">
        <f>'Cash Flow %s Yr3'!M139</f>
        <v>0.1</v>
      </c>
      <c r="N139" s="112">
        <f>'Cash Flow %s Yr3'!N139</f>
        <v>0.1</v>
      </c>
      <c r="O139" s="112">
        <f>'Cash Flow %s Yr3'!O139</f>
        <v>0.1</v>
      </c>
      <c r="P139" s="112">
        <f>'Cash Flow %s Yr3'!P139</f>
        <v>0</v>
      </c>
      <c r="Q139" s="112">
        <f>'Cash Flow %s Yr3'!Q139</f>
        <v>0</v>
      </c>
      <c r="R139" s="112">
        <f>'Cash Flow %s Yr3'!R139</f>
        <v>0</v>
      </c>
      <c r="S139" s="111">
        <f t="shared" si="9"/>
        <v>0.99999999999999989</v>
      </c>
    </row>
    <row r="140" spans="1:19" s="31" customFormat="1" hidden="1" outlineLevel="1" x14ac:dyDescent="0.2">
      <c r="A140" s="36"/>
      <c r="B140" s="66">
        <f>'Expenses Summary'!B95</f>
        <v>0</v>
      </c>
      <c r="C140" s="66">
        <f>'Expenses Summary'!C95</f>
        <v>0</v>
      </c>
      <c r="D140" s="112">
        <f>'Cash Flow %s Yr3'!D140</f>
        <v>0</v>
      </c>
      <c r="E140" s="112">
        <f>'Cash Flow %s Yr3'!E140</f>
        <v>0</v>
      </c>
      <c r="F140" s="112">
        <f>'Cash Flow %s Yr3'!F140</f>
        <v>0.1</v>
      </c>
      <c r="G140" s="112">
        <f>'Cash Flow %s Yr3'!G140</f>
        <v>0.1</v>
      </c>
      <c r="H140" s="112">
        <f>'Cash Flow %s Yr3'!H140</f>
        <v>0.1</v>
      </c>
      <c r="I140" s="112">
        <f>'Cash Flow %s Yr3'!I140</f>
        <v>0.1</v>
      </c>
      <c r="J140" s="112">
        <f>'Cash Flow %s Yr3'!J140</f>
        <v>0.1</v>
      </c>
      <c r="K140" s="112">
        <f>'Cash Flow %s Yr3'!K140</f>
        <v>0.1</v>
      </c>
      <c r="L140" s="112">
        <f>'Cash Flow %s Yr3'!L140</f>
        <v>0.1</v>
      </c>
      <c r="M140" s="112">
        <f>'Cash Flow %s Yr3'!M140</f>
        <v>0.1</v>
      </c>
      <c r="N140" s="112">
        <f>'Cash Flow %s Yr3'!N140</f>
        <v>0.1</v>
      </c>
      <c r="O140" s="112">
        <f>'Cash Flow %s Yr3'!O140</f>
        <v>0.1</v>
      </c>
      <c r="P140" s="112">
        <f>'Cash Flow %s Yr3'!P140</f>
        <v>0</v>
      </c>
      <c r="Q140" s="112">
        <f>'Cash Flow %s Yr3'!Q140</f>
        <v>0</v>
      </c>
      <c r="R140" s="112">
        <f>'Cash Flow %s Yr3'!R140</f>
        <v>0</v>
      </c>
      <c r="S140" s="111">
        <f t="shared" si="9"/>
        <v>0.99999999999999989</v>
      </c>
    </row>
    <row r="141" spans="1:19" s="31" customFormat="1" hidden="1" outlineLevel="1" x14ac:dyDescent="0.2">
      <c r="A141" s="36"/>
      <c r="B141" s="66">
        <f>'Expenses Summary'!B96</f>
        <v>0</v>
      </c>
      <c r="C141" s="66">
        <f>'Expenses Summary'!C96</f>
        <v>0</v>
      </c>
      <c r="D141" s="112">
        <f>'Cash Flow %s Yr3'!D141</f>
        <v>0</v>
      </c>
      <c r="E141" s="112">
        <f>'Cash Flow %s Yr3'!E141</f>
        <v>0</v>
      </c>
      <c r="F141" s="112">
        <f>'Cash Flow %s Yr3'!F141</f>
        <v>0.1</v>
      </c>
      <c r="G141" s="112">
        <f>'Cash Flow %s Yr3'!G141</f>
        <v>0.1</v>
      </c>
      <c r="H141" s="112">
        <f>'Cash Flow %s Yr3'!H141</f>
        <v>0.1</v>
      </c>
      <c r="I141" s="112">
        <f>'Cash Flow %s Yr3'!I141</f>
        <v>0.1</v>
      </c>
      <c r="J141" s="112">
        <f>'Cash Flow %s Yr3'!J141</f>
        <v>0.1</v>
      </c>
      <c r="K141" s="112">
        <f>'Cash Flow %s Yr3'!K141</f>
        <v>0.1</v>
      </c>
      <c r="L141" s="112">
        <f>'Cash Flow %s Yr3'!L141</f>
        <v>0.1</v>
      </c>
      <c r="M141" s="112">
        <f>'Cash Flow %s Yr3'!M141</f>
        <v>0.1</v>
      </c>
      <c r="N141" s="112">
        <f>'Cash Flow %s Yr3'!N141</f>
        <v>0.1</v>
      </c>
      <c r="O141" s="112">
        <f>'Cash Flow %s Yr3'!O141</f>
        <v>0.1</v>
      </c>
      <c r="P141" s="112">
        <f>'Cash Flow %s Yr3'!P141</f>
        <v>0</v>
      </c>
      <c r="Q141" s="112">
        <f>'Cash Flow %s Yr3'!Q141</f>
        <v>0</v>
      </c>
      <c r="R141" s="112">
        <f>'Cash Flow %s Yr3'!R141</f>
        <v>0</v>
      </c>
      <c r="S141" s="111">
        <f t="shared" si="9"/>
        <v>0.99999999999999989</v>
      </c>
    </row>
    <row r="142" spans="1:19" s="31" customFormat="1" hidden="1" outlineLevel="1" x14ac:dyDescent="0.2">
      <c r="A142" s="36"/>
      <c r="B142" s="66">
        <f>'Expenses Summary'!B97</f>
        <v>0</v>
      </c>
      <c r="C142" s="66">
        <f>'Expenses Summary'!C97</f>
        <v>0</v>
      </c>
      <c r="D142" s="112">
        <f>'Cash Flow %s Yr3'!D142</f>
        <v>0</v>
      </c>
      <c r="E142" s="112">
        <f>'Cash Flow %s Yr3'!E142</f>
        <v>0</v>
      </c>
      <c r="F142" s="112">
        <f>'Cash Flow %s Yr3'!F142</f>
        <v>0.1</v>
      </c>
      <c r="G142" s="112">
        <f>'Cash Flow %s Yr3'!G142</f>
        <v>0.1</v>
      </c>
      <c r="H142" s="112">
        <f>'Cash Flow %s Yr3'!H142</f>
        <v>0.1</v>
      </c>
      <c r="I142" s="112">
        <f>'Cash Flow %s Yr3'!I142</f>
        <v>0.1</v>
      </c>
      <c r="J142" s="112">
        <f>'Cash Flow %s Yr3'!J142</f>
        <v>0.1</v>
      </c>
      <c r="K142" s="112">
        <f>'Cash Flow %s Yr3'!K142</f>
        <v>0.1</v>
      </c>
      <c r="L142" s="112">
        <f>'Cash Flow %s Yr3'!L142</f>
        <v>0.1</v>
      </c>
      <c r="M142" s="112">
        <f>'Cash Flow %s Yr3'!M142</f>
        <v>0.1</v>
      </c>
      <c r="N142" s="112">
        <f>'Cash Flow %s Yr3'!N142</f>
        <v>0.1</v>
      </c>
      <c r="O142" s="112">
        <f>'Cash Flow %s Yr3'!O142</f>
        <v>0.1</v>
      </c>
      <c r="P142" s="112">
        <f>'Cash Flow %s Yr3'!P142</f>
        <v>0</v>
      </c>
      <c r="Q142" s="112">
        <f>'Cash Flow %s Yr3'!Q142</f>
        <v>0</v>
      </c>
      <c r="R142" s="112">
        <f>'Cash Flow %s Yr3'!R142</f>
        <v>0</v>
      </c>
      <c r="S142" s="111">
        <f>SUM(D142:R142)</f>
        <v>0.99999999999999989</v>
      </c>
    </row>
    <row r="143" spans="1:19" s="31" customFormat="1" collapsed="1" x14ac:dyDescent="0.2">
      <c r="A143" s="36"/>
      <c r="B143" s="66" t="str">
        <f>'Expenses Summary'!B98</f>
        <v>5999</v>
      </c>
      <c r="C143" s="66" t="str">
        <f>'Expenses Summary'!C98</f>
        <v>Expense Suspense</v>
      </c>
      <c r="D143" s="112">
        <f>'Cash Flow %s Yr3'!D143</f>
        <v>0.05</v>
      </c>
      <c r="E143" s="112">
        <f>'Cash Flow %s Yr3'!E143</f>
        <v>0.05</v>
      </c>
      <c r="F143" s="112">
        <f>'Cash Flow %s Yr3'!F143</f>
        <v>0.09</v>
      </c>
      <c r="G143" s="112">
        <f>'Cash Flow %s Yr3'!G143</f>
        <v>0.09</v>
      </c>
      <c r="H143" s="112">
        <f>'Cash Flow %s Yr3'!H143</f>
        <v>0.09</v>
      </c>
      <c r="I143" s="112">
        <f>'Cash Flow %s Yr3'!I143</f>
        <v>0.09</v>
      </c>
      <c r="J143" s="112">
        <f>'Cash Flow %s Yr3'!J143</f>
        <v>0.09</v>
      </c>
      <c r="K143" s="112">
        <f>'Cash Flow %s Yr3'!K143</f>
        <v>0.09</v>
      </c>
      <c r="L143" s="112">
        <f>'Cash Flow %s Yr3'!L143</f>
        <v>0.09</v>
      </c>
      <c r="M143" s="112">
        <f>'Cash Flow %s Yr3'!M143</f>
        <v>0.09</v>
      </c>
      <c r="N143" s="112">
        <f>'Cash Flow %s Yr3'!N143</f>
        <v>0.09</v>
      </c>
      <c r="O143" s="112">
        <f>'Cash Flow %s Yr3'!O143</f>
        <v>0.09</v>
      </c>
      <c r="P143" s="112">
        <f>'Cash Flow %s Yr3'!P143</f>
        <v>0</v>
      </c>
      <c r="Q143" s="112">
        <f>'Cash Flow %s Yr3'!Q143</f>
        <v>0</v>
      </c>
      <c r="R143" s="112">
        <f>'Cash Flow %s Yr3'!R143</f>
        <v>0</v>
      </c>
      <c r="S143" s="111">
        <f>SUM(D143:R143)</f>
        <v>0.99999999999999978</v>
      </c>
    </row>
    <row r="144" spans="1:19" s="31" customFormat="1" x14ac:dyDescent="0.2">
      <c r="A144" s="36"/>
      <c r="B144" s="124"/>
      <c r="C144" s="93"/>
      <c r="D144" s="100"/>
      <c r="E144" s="100"/>
      <c r="F144" s="100"/>
      <c r="G144" s="100"/>
      <c r="H144" s="100"/>
      <c r="I144" s="100"/>
      <c r="J144" s="100"/>
      <c r="K144" s="100"/>
      <c r="L144" s="100"/>
      <c r="M144" s="100"/>
      <c r="N144" s="100"/>
      <c r="O144" s="100"/>
      <c r="P144" s="108"/>
      <c r="Q144" s="108"/>
      <c r="R144" s="108"/>
      <c r="S144" s="111"/>
    </row>
    <row r="145" spans="1:24" s="31" customFormat="1" x14ac:dyDescent="0.2">
      <c r="A145" s="36"/>
      <c r="B145" s="4"/>
      <c r="C145" s="3"/>
      <c r="D145" s="95"/>
      <c r="E145" s="95"/>
      <c r="F145" s="95"/>
      <c r="G145" s="95"/>
      <c r="H145" s="95"/>
      <c r="I145" s="95"/>
      <c r="J145" s="95"/>
      <c r="K145" s="95"/>
      <c r="L145" s="95"/>
      <c r="M145" s="95"/>
      <c r="N145" s="95"/>
      <c r="O145" s="95"/>
      <c r="P145" s="95"/>
      <c r="Q145" s="95"/>
      <c r="R145" s="95"/>
      <c r="S145" s="111"/>
    </row>
    <row r="146" spans="1:24" s="31" customFormat="1" x14ac:dyDescent="0.2">
      <c r="B146" s="34" t="s">
        <v>723</v>
      </c>
      <c r="C146" s="3"/>
      <c r="D146" s="95"/>
      <c r="E146" s="95"/>
      <c r="F146" s="95"/>
      <c r="G146" s="95"/>
      <c r="H146" s="95"/>
      <c r="I146" s="95"/>
      <c r="J146" s="95"/>
      <c r="K146" s="95"/>
      <c r="L146" s="95"/>
      <c r="M146" s="95"/>
      <c r="N146" s="95"/>
      <c r="O146" s="95"/>
      <c r="P146" s="95"/>
      <c r="Q146" s="95"/>
      <c r="R146" s="95"/>
      <c r="S146" s="111"/>
    </row>
    <row r="147" spans="1:24" s="31" customFormat="1" x14ac:dyDescent="0.2">
      <c r="A147" s="36"/>
      <c r="B147" s="66" t="str">
        <f>'Expenses Summary'!B102</f>
        <v>6900</v>
      </c>
      <c r="C147" s="66" t="str">
        <f>'Expenses Summary'!C102</f>
        <v xml:space="preserve">Depreciation Expense                                                            </v>
      </c>
      <c r="D147" s="112">
        <f>'Cash Flow %s Yr3'!D147</f>
        <v>0</v>
      </c>
      <c r="E147" s="112">
        <f>'Cash Flow %s Yr3'!E147</f>
        <v>0</v>
      </c>
      <c r="F147" s="112">
        <f>'Cash Flow %s Yr3'!F147</f>
        <v>0</v>
      </c>
      <c r="G147" s="112">
        <f>'Cash Flow %s Yr3'!G147</f>
        <v>0</v>
      </c>
      <c r="H147" s="112">
        <f>'Cash Flow %s Yr3'!H147</f>
        <v>0</v>
      </c>
      <c r="I147" s="112">
        <f>'Cash Flow %s Yr3'!I147</f>
        <v>0</v>
      </c>
      <c r="J147" s="112">
        <f>'Cash Flow %s Yr3'!J147</f>
        <v>0</v>
      </c>
      <c r="K147" s="112">
        <f>'Cash Flow %s Yr3'!K147</f>
        <v>0</v>
      </c>
      <c r="L147" s="112">
        <f>'Cash Flow %s Yr3'!L147</f>
        <v>0</v>
      </c>
      <c r="M147" s="112">
        <f>'Cash Flow %s Yr3'!M147</f>
        <v>0</v>
      </c>
      <c r="N147" s="112">
        <f>'Cash Flow %s Yr3'!N147</f>
        <v>0</v>
      </c>
      <c r="O147" s="112">
        <f>'Cash Flow %s Yr3'!O147</f>
        <v>1</v>
      </c>
      <c r="P147" s="112">
        <f>'Cash Flow %s Yr3'!P147</f>
        <v>0</v>
      </c>
      <c r="Q147" s="112">
        <f>'Cash Flow %s Yr3'!Q147</f>
        <v>0</v>
      </c>
      <c r="R147" s="112">
        <f>'Cash Flow %s Yr3'!R147</f>
        <v>0</v>
      </c>
      <c r="S147" s="111">
        <f>SUM(D147:R147)</f>
        <v>1</v>
      </c>
    </row>
    <row r="148" spans="1:24" s="31" customFormat="1" x14ac:dyDescent="0.2">
      <c r="A148" s="36"/>
      <c r="B148" s="124"/>
      <c r="C148" s="93"/>
      <c r="D148" s="100"/>
      <c r="E148" s="100"/>
      <c r="F148" s="100"/>
      <c r="G148" s="100"/>
      <c r="H148" s="100"/>
      <c r="I148" s="108"/>
      <c r="J148" s="108"/>
      <c r="K148" s="108"/>
      <c r="L148" s="108"/>
      <c r="M148" s="108"/>
      <c r="N148" s="108"/>
      <c r="O148" s="108"/>
      <c r="P148" s="108"/>
      <c r="Q148" s="108"/>
      <c r="R148" s="108"/>
      <c r="S148" s="111"/>
    </row>
    <row r="149" spans="1:24" s="31" customFormat="1" x14ac:dyDescent="0.2">
      <c r="A149" s="36"/>
      <c r="B149" s="4"/>
      <c r="C149" s="3"/>
      <c r="D149" s="95"/>
      <c r="E149" s="104"/>
      <c r="F149" s="104"/>
      <c r="G149" s="95"/>
      <c r="H149" s="95"/>
      <c r="I149" s="95"/>
      <c r="J149" s="95"/>
      <c r="K149" s="95"/>
      <c r="L149" s="95"/>
      <c r="M149" s="95"/>
      <c r="N149" s="95"/>
      <c r="O149" s="95"/>
      <c r="P149" s="95"/>
      <c r="Q149" s="95"/>
      <c r="R149" s="95"/>
      <c r="S149" s="111"/>
    </row>
    <row r="150" spans="1:24" s="31" customFormat="1" x14ac:dyDescent="0.2">
      <c r="B150" s="34" t="s">
        <v>724</v>
      </c>
      <c r="C150" s="3"/>
      <c r="D150" s="95"/>
      <c r="E150" s="104"/>
      <c r="F150" s="104"/>
      <c r="G150" s="95"/>
      <c r="H150" s="95"/>
      <c r="I150" s="95"/>
      <c r="J150" s="95"/>
      <c r="K150" s="95"/>
      <c r="L150" s="95"/>
      <c r="M150" s="95"/>
      <c r="N150" s="95"/>
      <c r="O150" s="95"/>
      <c r="P150" s="95"/>
      <c r="Q150" s="95"/>
      <c r="R150" s="95"/>
      <c r="S150" s="111"/>
    </row>
    <row r="151" spans="1:24" s="31" customFormat="1" x14ac:dyDescent="0.2">
      <c r="A151" s="36"/>
      <c r="B151" s="66" t="str">
        <f>'Expenses Summary'!B106</f>
        <v>7000</v>
      </c>
      <c r="C151" s="66" t="str">
        <f>'Expenses Summary'!C106</f>
        <v>Miscellaneous Expense</v>
      </c>
      <c r="D151" s="112">
        <f>'Cash Flow %s Yr3'!D151</f>
        <v>0.05</v>
      </c>
      <c r="E151" s="112">
        <f>'Cash Flow %s Yr3'!E151</f>
        <v>0.05</v>
      </c>
      <c r="F151" s="112">
        <f>'Cash Flow %s Yr3'!F151</f>
        <v>0.09</v>
      </c>
      <c r="G151" s="112">
        <f>'Cash Flow %s Yr3'!G151</f>
        <v>0.09</v>
      </c>
      <c r="H151" s="112">
        <f>'Cash Flow %s Yr3'!H151</f>
        <v>0.09</v>
      </c>
      <c r="I151" s="112">
        <f>'Cash Flow %s Yr3'!I151</f>
        <v>0.09</v>
      </c>
      <c r="J151" s="112">
        <f>'Cash Flow %s Yr3'!J151</f>
        <v>0.09</v>
      </c>
      <c r="K151" s="112">
        <f>'Cash Flow %s Yr3'!K151</f>
        <v>0.09</v>
      </c>
      <c r="L151" s="112">
        <f>'Cash Flow %s Yr3'!L151</f>
        <v>0.09</v>
      </c>
      <c r="M151" s="112">
        <f>'Cash Flow %s Yr3'!M151</f>
        <v>0.09</v>
      </c>
      <c r="N151" s="112">
        <f>'Cash Flow %s Yr3'!N151</f>
        <v>0.09</v>
      </c>
      <c r="O151" s="112">
        <f>'Cash Flow %s Yr3'!O151</f>
        <v>0.09</v>
      </c>
      <c r="P151" s="112">
        <f>'Cash Flow %s Yr3'!P151</f>
        <v>0</v>
      </c>
      <c r="Q151" s="112">
        <f>'Cash Flow %s Yr3'!Q151</f>
        <v>0</v>
      </c>
      <c r="R151" s="112">
        <f>'Cash Flow %s Yr3'!R151</f>
        <v>0</v>
      </c>
      <c r="S151" s="111">
        <f>SUM(D151:R151)</f>
        <v>0.99999999999999978</v>
      </c>
    </row>
    <row r="152" spans="1:24" s="31" customFormat="1" x14ac:dyDescent="0.2">
      <c r="A152" s="36"/>
      <c r="B152" s="66" t="str">
        <f>'Expenses Summary'!B107</f>
        <v>7010</v>
      </c>
      <c r="C152" s="66" t="str">
        <f>'Expenses Summary'!C107</f>
        <v>Special Education Encroachment</v>
      </c>
      <c r="D152" s="112">
        <f>'Cash Flow %s Yr3'!D152</f>
        <v>0</v>
      </c>
      <c r="E152" s="112">
        <f>'Cash Flow %s Yr3'!E152</f>
        <v>0</v>
      </c>
      <c r="F152" s="112">
        <f>'Cash Flow %s Yr3'!F152</f>
        <v>0</v>
      </c>
      <c r="G152" s="112">
        <f>'Cash Flow %s Yr3'!G152</f>
        <v>0</v>
      </c>
      <c r="H152" s="112">
        <f>'Cash Flow %s Yr3'!H152</f>
        <v>0</v>
      </c>
      <c r="I152" s="112">
        <f>'Cash Flow %s Yr3'!I152</f>
        <v>0</v>
      </c>
      <c r="J152" s="112">
        <f>'Cash Flow %s Yr3'!J152</f>
        <v>0</v>
      </c>
      <c r="K152" s="112">
        <f>'Cash Flow %s Yr3'!K152</f>
        <v>0</v>
      </c>
      <c r="L152" s="112">
        <f>'Cash Flow %s Yr3'!L152</f>
        <v>0</v>
      </c>
      <c r="M152" s="112">
        <f>'Cash Flow %s Yr3'!M152</f>
        <v>0</v>
      </c>
      <c r="N152" s="112">
        <f>'Cash Flow %s Yr3'!N152</f>
        <v>0</v>
      </c>
      <c r="O152" s="112">
        <f>'Cash Flow %s Yr3'!O152</f>
        <v>1</v>
      </c>
      <c r="P152" s="112">
        <f>'Cash Flow %s Yr3'!P152</f>
        <v>0</v>
      </c>
      <c r="Q152" s="112">
        <f>'Cash Flow %s Yr3'!Q152</f>
        <v>0</v>
      </c>
      <c r="R152" s="112">
        <f>'Cash Flow %s Yr3'!R152</f>
        <v>0</v>
      </c>
      <c r="S152" s="111">
        <f>SUM(D152:R152)</f>
        <v>1</v>
      </c>
    </row>
    <row r="153" spans="1:24" s="31" customFormat="1" x14ac:dyDescent="0.2">
      <c r="A153" s="36"/>
      <c r="B153" s="66" t="str">
        <f>'Expenses Summary'!B108</f>
        <v>7438</v>
      </c>
      <c r="C153" s="66" t="str">
        <f>'Expenses Summary'!C108</f>
        <v xml:space="preserve">Debt </v>
      </c>
      <c r="D153" s="112">
        <f>'Cash Flow %s Yr3'!D153</f>
        <v>0</v>
      </c>
      <c r="E153" s="112">
        <f>'Cash Flow %s Yr3'!E153</f>
        <v>0</v>
      </c>
      <c r="F153" s="112">
        <f>'Cash Flow %s Yr3'!F153</f>
        <v>0</v>
      </c>
      <c r="G153" s="112">
        <f>'Cash Flow %s Yr3'!G153</f>
        <v>0</v>
      </c>
      <c r="H153" s="112">
        <f>'Cash Flow %s Yr3'!H153</f>
        <v>0</v>
      </c>
      <c r="I153" s="112">
        <f>'Cash Flow %s Yr3'!I153</f>
        <v>0</v>
      </c>
      <c r="J153" s="112">
        <f>'Cash Flow %s Yr3'!J153</f>
        <v>0</v>
      </c>
      <c r="K153" s="112">
        <f>'Cash Flow %s Yr3'!K153</f>
        <v>0</v>
      </c>
      <c r="L153" s="112">
        <f>'Cash Flow %s Yr3'!L153</f>
        <v>0</v>
      </c>
      <c r="M153" s="112">
        <f>'Cash Flow %s Yr3'!M153</f>
        <v>0</v>
      </c>
      <c r="N153" s="112">
        <f>'Cash Flow %s Yr3'!N153</f>
        <v>0</v>
      </c>
      <c r="O153" s="112">
        <f>'Cash Flow %s Yr3'!O153</f>
        <v>1</v>
      </c>
      <c r="P153" s="112">
        <f>'Cash Flow %s Yr3'!P153</f>
        <v>0</v>
      </c>
      <c r="Q153" s="112">
        <f>'Cash Flow %s Yr3'!Q153</f>
        <v>0</v>
      </c>
      <c r="R153" s="112">
        <f>'Cash Flow %s Yr3'!R153</f>
        <v>0</v>
      </c>
      <c r="S153" s="111">
        <f>SUM(D153:R153)</f>
        <v>1</v>
      </c>
    </row>
    <row r="154" spans="1:24" s="31" customFormat="1" x14ac:dyDescent="0.2">
      <c r="A154" s="36"/>
      <c r="B154" s="66" t="str">
        <f>'Expenses Summary'!B109</f>
        <v>7500</v>
      </c>
      <c r="C154" s="66" t="str">
        <f>'Expenses Summary'!C109</f>
        <v>District Oversight Fee</v>
      </c>
      <c r="D154" s="112">
        <f>'Cash Flow %s Yr3'!D154</f>
        <v>0</v>
      </c>
      <c r="E154" s="112">
        <f>'Cash Flow %s Yr3'!E154</f>
        <v>0</v>
      </c>
      <c r="F154" s="112">
        <f>'Cash Flow %s Yr3'!F154</f>
        <v>0</v>
      </c>
      <c r="G154" s="112">
        <f>'Cash Flow %s Yr3'!G154</f>
        <v>0</v>
      </c>
      <c r="H154" s="112">
        <f>'Cash Flow %s Yr3'!H154</f>
        <v>0</v>
      </c>
      <c r="I154" s="112">
        <f>'Cash Flow %s Yr3'!I154</f>
        <v>0</v>
      </c>
      <c r="J154" s="112">
        <f>'Cash Flow %s Yr3'!J154</f>
        <v>0</v>
      </c>
      <c r="K154" s="112">
        <f>'Cash Flow %s Yr3'!K154</f>
        <v>0</v>
      </c>
      <c r="L154" s="112">
        <f>'Cash Flow %s Yr3'!L154</f>
        <v>0</v>
      </c>
      <c r="M154" s="112">
        <f>'Cash Flow %s Yr3'!M154</f>
        <v>0</v>
      </c>
      <c r="N154" s="112">
        <f>'Cash Flow %s Yr3'!N154</f>
        <v>0</v>
      </c>
      <c r="O154" s="112">
        <f>'Cash Flow %s Yr3'!O154</f>
        <v>1</v>
      </c>
      <c r="P154" s="112">
        <f>'Cash Flow %s Yr3'!P154</f>
        <v>0</v>
      </c>
      <c r="Q154" s="112">
        <f>'Cash Flow %s Yr3'!Q154</f>
        <v>0</v>
      </c>
      <c r="R154" s="112">
        <f>'Cash Flow %s Yr3'!R154</f>
        <v>0</v>
      </c>
      <c r="S154" s="111">
        <f>SUM(D154:R154)</f>
        <v>1</v>
      </c>
    </row>
    <row r="155" spans="1:24" s="31" customFormat="1" x14ac:dyDescent="0.2">
      <c r="A155" s="36"/>
      <c r="B155" s="40"/>
      <c r="C155" s="1"/>
      <c r="D155" s="105"/>
      <c r="E155" s="105"/>
      <c r="F155" s="105"/>
      <c r="G155" s="105"/>
      <c r="H155" s="105"/>
      <c r="I155" s="105"/>
      <c r="J155" s="105"/>
      <c r="K155" s="105"/>
      <c r="L155" s="105"/>
      <c r="M155" s="105"/>
      <c r="N155" s="105"/>
      <c r="O155" s="105"/>
      <c r="P155" s="105"/>
      <c r="Q155" s="105"/>
      <c r="R155" s="105"/>
      <c r="S155" s="111"/>
    </row>
    <row r="156" spans="1:24" s="31" customFormat="1" x14ac:dyDescent="0.2">
      <c r="A156" s="36"/>
      <c r="B156" s="40"/>
      <c r="C156" s="1"/>
      <c r="D156" s="95"/>
      <c r="E156" s="95"/>
      <c r="F156" s="95"/>
      <c r="G156" s="95"/>
      <c r="H156" s="95"/>
      <c r="I156" s="95"/>
      <c r="J156" s="95"/>
      <c r="K156" s="95"/>
      <c r="L156" s="95"/>
      <c r="M156" s="95"/>
      <c r="N156" s="95"/>
      <c r="O156" s="95"/>
      <c r="P156" s="95"/>
      <c r="Q156" s="95"/>
      <c r="R156" s="95"/>
      <c r="S156" s="111"/>
      <c r="T156" s="154"/>
    </row>
    <row r="157" spans="1:24" s="31" customFormat="1" x14ac:dyDescent="0.2">
      <c r="A157" s="36"/>
      <c r="B157" s="34" t="s">
        <v>824</v>
      </c>
      <c r="C157" s="3"/>
      <c r="D157" s="95"/>
      <c r="E157" s="104"/>
      <c r="F157" s="104"/>
      <c r="G157" s="95"/>
      <c r="H157" s="95"/>
      <c r="I157" s="95"/>
      <c r="J157" s="95"/>
      <c r="K157" s="95"/>
      <c r="L157" s="95"/>
      <c r="M157" s="95"/>
      <c r="N157" s="95"/>
      <c r="O157" s="95"/>
      <c r="P157" s="95"/>
      <c r="Q157" s="95"/>
      <c r="R157" s="95"/>
      <c r="S157" s="111"/>
    </row>
    <row r="158" spans="1:24" s="31" customFormat="1" x14ac:dyDescent="0.2">
      <c r="A158" s="36"/>
      <c r="B158" s="66"/>
      <c r="C158" s="135" t="s">
        <v>825</v>
      </c>
      <c r="D158" s="112">
        <f>'Cash Flow %s Yr3'!D158</f>
        <v>1</v>
      </c>
      <c r="E158" s="112">
        <f>'Cash Flow %s Yr3'!E158</f>
        <v>0</v>
      </c>
      <c r="F158" s="112">
        <f>'Cash Flow %s Yr3'!F158</f>
        <v>0</v>
      </c>
      <c r="G158" s="112">
        <f>'Cash Flow %s Yr3'!G158</f>
        <v>0</v>
      </c>
      <c r="H158" s="112">
        <f>'Cash Flow %s Yr3'!H158</f>
        <v>0</v>
      </c>
      <c r="I158" s="112">
        <f>'Cash Flow %s Yr3'!I158</f>
        <v>0</v>
      </c>
      <c r="J158" s="112">
        <f>'Cash Flow %s Yr3'!J158</f>
        <v>0</v>
      </c>
      <c r="K158" s="112">
        <f>'Cash Flow %s Yr3'!K158</f>
        <v>0</v>
      </c>
      <c r="L158" s="112">
        <f>'Cash Flow %s Yr3'!L158</f>
        <v>0</v>
      </c>
      <c r="M158" s="112">
        <f>'Cash Flow %s Yr3'!M158</f>
        <v>0</v>
      </c>
      <c r="N158" s="112">
        <f>'Cash Flow %s Yr3'!N158</f>
        <v>0</v>
      </c>
      <c r="O158" s="112">
        <f>'Cash Flow %s Yr3'!O158</f>
        <v>0</v>
      </c>
      <c r="P158" s="112">
        <f>'Cash Flow %s Yr3'!P158</f>
        <v>0</v>
      </c>
      <c r="Q158" s="112">
        <f>'Cash Flow %s Yr3'!Q158</f>
        <v>0</v>
      </c>
      <c r="R158" s="112">
        <f>'Cash Flow %s Yr3'!R158</f>
        <v>0</v>
      </c>
      <c r="S158" s="111">
        <f>SUM(D158:R158)</f>
        <v>1</v>
      </c>
      <c r="T158" s="149"/>
      <c r="U158" s="149"/>
      <c r="V158" s="149"/>
      <c r="W158" s="149"/>
      <c r="X158" s="149"/>
    </row>
    <row r="159" spans="1:24" s="31" customFormat="1" x14ac:dyDescent="0.2">
      <c r="A159" s="36"/>
      <c r="B159" s="66"/>
      <c r="C159" s="135" t="s">
        <v>826</v>
      </c>
      <c r="D159" s="112">
        <f>'Cash Flow %s Yr3'!D159</f>
        <v>0.6</v>
      </c>
      <c r="E159" s="112">
        <f>'Cash Flow %s Yr3'!E159</f>
        <v>0.25</v>
      </c>
      <c r="F159" s="112">
        <f>'Cash Flow %s Yr3'!F159</f>
        <v>0.1</v>
      </c>
      <c r="G159" s="112">
        <f>'Cash Flow %s Yr3'!G159</f>
        <v>0</v>
      </c>
      <c r="H159" s="112">
        <f>'Cash Flow %s Yr3'!H159</f>
        <v>0</v>
      </c>
      <c r="I159" s="112">
        <f>'Cash Flow %s Yr3'!I159</f>
        <v>0</v>
      </c>
      <c r="J159" s="112">
        <f>'Cash Flow %s Yr3'!J159</f>
        <v>0</v>
      </c>
      <c r="K159" s="112">
        <f>'Cash Flow %s Yr3'!K159</f>
        <v>0</v>
      </c>
      <c r="L159" s="112">
        <f>'Cash Flow %s Yr3'!L159</f>
        <v>0</v>
      </c>
      <c r="M159" s="112">
        <f>'Cash Flow %s Yr3'!M159</f>
        <v>0</v>
      </c>
      <c r="N159" s="112">
        <f>'Cash Flow %s Yr3'!N159</f>
        <v>0</v>
      </c>
      <c r="O159" s="112">
        <f>'Cash Flow %s Yr3'!O159</f>
        <v>0</v>
      </c>
      <c r="P159" s="112">
        <f>'Cash Flow %s Yr3'!P159</f>
        <v>0</v>
      </c>
      <c r="Q159" s="112">
        <f>'Cash Flow %s Yr3'!Q159</f>
        <v>0</v>
      </c>
      <c r="R159" s="112">
        <f>'Cash Flow %s Yr3'!R159</f>
        <v>0</v>
      </c>
      <c r="S159" s="111">
        <f>SUM(D159:R159)</f>
        <v>0.95</v>
      </c>
      <c r="T159" s="149"/>
      <c r="U159" s="149"/>
      <c r="V159" s="149"/>
      <c r="W159" s="149"/>
      <c r="X159" s="149"/>
    </row>
    <row r="160" spans="1:24" s="31" customFormat="1" x14ac:dyDescent="0.2">
      <c r="A160" s="36"/>
      <c r="B160" s="66"/>
      <c r="C160" s="135" t="s">
        <v>827</v>
      </c>
      <c r="D160" s="112">
        <f>'Cash Flow %s Yr3'!D160</f>
        <v>0.5</v>
      </c>
      <c r="E160" s="112">
        <f>'Cash Flow %s Yr3'!E160</f>
        <v>0.2</v>
      </c>
      <c r="F160" s="112">
        <f>'Cash Flow %s Yr3'!F160</f>
        <v>0</v>
      </c>
      <c r="G160" s="112">
        <f>'Cash Flow %s Yr3'!G160</f>
        <v>0</v>
      </c>
      <c r="H160" s="112">
        <f>'Cash Flow %s Yr3'!H160</f>
        <v>0</v>
      </c>
      <c r="I160" s="112">
        <f>'Cash Flow %s Yr3'!I160</f>
        <v>0</v>
      </c>
      <c r="J160" s="112">
        <f>'Cash Flow %s Yr3'!J160</f>
        <v>0</v>
      </c>
      <c r="K160" s="112">
        <f>'Cash Flow %s Yr3'!K160</f>
        <v>0</v>
      </c>
      <c r="L160" s="112">
        <f>'Cash Flow %s Yr3'!L160</f>
        <v>0</v>
      </c>
      <c r="M160" s="112">
        <f>'Cash Flow %s Yr3'!M160</f>
        <v>0</v>
      </c>
      <c r="N160" s="112">
        <f>'Cash Flow %s Yr3'!N160</f>
        <v>0</v>
      </c>
      <c r="O160" s="112">
        <f>'Cash Flow %s Yr3'!O160</f>
        <v>0</v>
      </c>
      <c r="P160" s="112">
        <f>'Cash Flow %s Yr3'!P160</f>
        <v>0</v>
      </c>
      <c r="Q160" s="112">
        <f>'Cash Flow %s Yr3'!Q160</f>
        <v>0</v>
      </c>
      <c r="R160" s="112">
        <f>'Cash Flow %s Yr3'!R160</f>
        <v>0</v>
      </c>
      <c r="S160" s="111">
        <f>SUM(D160:R160)</f>
        <v>0.7</v>
      </c>
      <c r="T160" s="149"/>
      <c r="U160" s="149"/>
      <c r="V160" s="149"/>
      <c r="W160" s="149"/>
      <c r="X160" s="149"/>
    </row>
    <row r="161" spans="1:24" s="40" customFormat="1" x14ac:dyDescent="0.2">
      <c r="A161" s="36"/>
      <c r="B161" s="66"/>
      <c r="C161" s="135" t="s">
        <v>828</v>
      </c>
      <c r="D161" s="112">
        <f>'Cash Flow %s Yr3'!D161</f>
        <v>0</v>
      </c>
      <c r="E161" s="112">
        <f>'Cash Flow %s Yr3'!E161</f>
        <v>0</v>
      </c>
      <c r="F161" s="112">
        <f>'Cash Flow %s Yr3'!F161</f>
        <v>0</v>
      </c>
      <c r="G161" s="112">
        <f>'Cash Flow %s Yr3'!G161</f>
        <v>0</v>
      </c>
      <c r="H161" s="112">
        <f>'Cash Flow %s Yr3'!H161</f>
        <v>0</v>
      </c>
      <c r="I161" s="112">
        <f>'Cash Flow %s Yr3'!I161</f>
        <v>0</v>
      </c>
      <c r="J161" s="112">
        <f>'Cash Flow %s Yr3'!J161</f>
        <v>0</v>
      </c>
      <c r="K161" s="112">
        <f>'Cash Flow %s Yr3'!K161</f>
        <v>0</v>
      </c>
      <c r="L161" s="112">
        <f>'Cash Flow %s Yr3'!L161</f>
        <v>0</v>
      </c>
      <c r="M161" s="112">
        <f>'Cash Flow %s Yr3'!M161</f>
        <v>0</v>
      </c>
      <c r="N161" s="112">
        <f>'Cash Flow %s Yr3'!N161</f>
        <v>0</v>
      </c>
      <c r="O161" s="112">
        <f>'Cash Flow %s Yr3'!O161</f>
        <v>1</v>
      </c>
      <c r="P161" s="112">
        <f>'Cash Flow %s Yr3'!P161</f>
        <v>0</v>
      </c>
      <c r="Q161" s="112">
        <f>'Cash Flow %s Yr3'!Q161</f>
        <v>0</v>
      </c>
      <c r="R161" s="112">
        <f>'Cash Flow %s Yr3'!R161</f>
        <v>0</v>
      </c>
      <c r="S161" s="111">
        <f>SUM(D161:R161)</f>
        <v>1</v>
      </c>
      <c r="T161" s="149"/>
      <c r="U161" s="149"/>
      <c r="V161" s="149"/>
      <c r="W161" s="149"/>
      <c r="X161" s="149"/>
    </row>
    <row r="162" spans="1:24" s="40" customFormat="1" x14ac:dyDescent="0.2">
      <c r="A162" s="36"/>
      <c r="C162" s="1"/>
      <c r="D162" s="95"/>
      <c r="E162" s="95"/>
      <c r="F162" s="95"/>
      <c r="G162" s="95"/>
      <c r="H162" s="95"/>
      <c r="I162" s="95"/>
      <c r="J162" s="95"/>
      <c r="K162" s="95"/>
      <c r="L162" s="95"/>
      <c r="M162" s="95"/>
      <c r="N162" s="95"/>
      <c r="O162" s="95"/>
      <c r="P162" s="95"/>
      <c r="Q162" s="95"/>
      <c r="R162" s="95"/>
      <c r="S162" s="182"/>
    </row>
    <row r="163" spans="1:24" s="40" customFormat="1" x14ac:dyDescent="0.2">
      <c r="A163" s="36"/>
      <c r="C163" s="1"/>
      <c r="D163" s="95"/>
      <c r="E163" s="95"/>
      <c r="F163" s="95"/>
      <c r="G163" s="95"/>
      <c r="H163" s="95"/>
      <c r="I163" s="95"/>
      <c r="J163" s="95"/>
      <c r="K163" s="95"/>
      <c r="L163" s="95"/>
      <c r="M163" s="95"/>
      <c r="N163" s="95"/>
      <c r="O163" s="95"/>
      <c r="P163" s="95"/>
      <c r="Q163" s="95"/>
      <c r="R163" s="95"/>
      <c r="S163" s="182"/>
    </row>
    <row r="164" spans="1:24" s="40" customFormat="1" x14ac:dyDescent="0.2">
      <c r="A164" s="36"/>
      <c r="C164" s="1"/>
      <c r="D164" s="95"/>
      <c r="E164" s="95"/>
      <c r="F164" s="95"/>
      <c r="G164" s="95"/>
      <c r="H164" s="95"/>
      <c r="I164" s="95"/>
      <c r="J164" s="95"/>
      <c r="K164" s="95"/>
      <c r="L164" s="95"/>
      <c r="M164" s="95"/>
      <c r="N164" s="95"/>
      <c r="O164" s="95"/>
      <c r="P164" s="95"/>
      <c r="Q164" s="95"/>
      <c r="R164" s="95"/>
      <c r="S164" s="182"/>
    </row>
    <row r="165" spans="1:24" s="40" customFormat="1" x14ac:dyDescent="0.2">
      <c r="A165" s="36"/>
      <c r="C165" s="1"/>
      <c r="D165" s="95"/>
      <c r="E165" s="95"/>
      <c r="F165" s="95"/>
      <c r="G165" s="95"/>
      <c r="H165" s="95"/>
      <c r="I165" s="95"/>
      <c r="J165" s="95"/>
      <c r="K165" s="95"/>
      <c r="L165" s="95"/>
      <c r="M165" s="95"/>
      <c r="N165" s="95"/>
      <c r="O165" s="95"/>
      <c r="P165" s="95"/>
      <c r="Q165" s="95"/>
      <c r="R165" s="95"/>
      <c r="S165" s="182"/>
    </row>
    <row r="166" spans="1:24" s="40" customFormat="1" x14ac:dyDescent="0.2">
      <c r="A166" s="36"/>
      <c r="C166" s="1"/>
      <c r="D166" s="95"/>
      <c r="E166" s="95"/>
      <c r="F166" s="95"/>
      <c r="G166" s="95"/>
      <c r="H166" s="95"/>
      <c r="I166" s="95"/>
      <c r="J166" s="95"/>
      <c r="K166" s="95"/>
      <c r="L166" s="95"/>
      <c r="M166" s="95"/>
      <c r="N166" s="95"/>
      <c r="O166" s="95"/>
      <c r="P166" s="95"/>
      <c r="Q166" s="95"/>
      <c r="R166" s="95"/>
      <c r="S166" s="182"/>
    </row>
    <row r="167" spans="1:24" s="40" customFormat="1" x14ac:dyDescent="0.2">
      <c r="A167" s="36"/>
      <c r="C167" s="1"/>
      <c r="D167" s="95"/>
      <c r="E167" s="95"/>
      <c r="F167" s="95"/>
      <c r="G167" s="95"/>
      <c r="H167" s="95"/>
      <c r="I167" s="95"/>
      <c r="J167" s="95"/>
      <c r="K167" s="95"/>
      <c r="L167" s="95"/>
      <c r="M167" s="95"/>
      <c r="N167" s="95"/>
      <c r="O167" s="95"/>
      <c r="P167" s="95"/>
      <c r="Q167" s="95"/>
      <c r="R167" s="95"/>
      <c r="S167" s="182"/>
    </row>
    <row r="168" spans="1:24" s="40" customFormat="1" x14ac:dyDescent="0.2">
      <c r="A168" s="36"/>
      <c r="C168" s="1"/>
      <c r="D168" s="95"/>
      <c r="E168" s="95"/>
      <c r="F168" s="95"/>
      <c r="G168" s="95"/>
      <c r="H168" s="95"/>
      <c r="I168" s="95"/>
      <c r="J168" s="95"/>
      <c r="K168" s="95"/>
      <c r="L168" s="95"/>
      <c r="M168" s="95"/>
      <c r="N168" s="95"/>
      <c r="O168" s="95"/>
      <c r="P168" s="95"/>
      <c r="Q168" s="95"/>
      <c r="R168" s="95"/>
      <c r="S168" s="182"/>
    </row>
    <row r="169" spans="1:24" s="40" customFormat="1" x14ac:dyDescent="0.2">
      <c r="A169" s="36"/>
      <c r="C169" s="1"/>
      <c r="D169" s="95"/>
      <c r="E169" s="95"/>
      <c r="F169" s="95"/>
      <c r="G169" s="95"/>
      <c r="H169" s="95"/>
      <c r="I169" s="95"/>
      <c r="J169" s="95"/>
      <c r="K169" s="95"/>
      <c r="L169" s="95"/>
      <c r="M169" s="95"/>
      <c r="N169" s="95"/>
      <c r="O169" s="95"/>
      <c r="P169" s="95"/>
      <c r="Q169" s="95"/>
      <c r="R169" s="95"/>
      <c r="S169" s="182"/>
    </row>
    <row r="170" spans="1:24" x14ac:dyDescent="0.2">
      <c r="S170" s="182"/>
    </row>
    <row r="171" spans="1:24" x14ac:dyDescent="0.2">
      <c r="S171" s="182"/>
    </row>
    <row r="172" spans="1:24" x14ac:dyDescent="0.2">
      <c r="S172" s="182"/>
    </row>
    <row r="173" spans="1:24" x14ac:dyDescent="0.2">
      <c r="S173" s="182"/>
    </row>
  </sheetData>
  <pageMargins left="0.25" right="0.25" top="0.5" bottom="0.5" header="0.25" footer="0.25"/>
  <pageSetup scale="58" fitToHeight="3" orientation="landscape" r:id="rId1"/>
  <headerFooter alignWithMargins="0">
    <oddHeader>&amp;A</oddHeader>
    <oddFooter>Page &amp;P</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pageSetUpPr fitToPage="1"/>
  </sheetPr>
  <dimension ref="A1:S172"/>
  <sheetViews>
    <sheetView workbookViewId="0">
      <pane xSplit="3" ySplit="6" topLeftCell="D119"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12.5" style="95" customWidth="1"/>
    <col min="19" max="19" width="10.33203125" style="1" bestFit="1" customWidth="1"/>
    <col min="20"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19" ht="20" x14ac:dyDescent="0.2">
      <c r="A1" s="22" t="str">
        <f>'Student Info'!$A$1</f>
        <v>Three Rivers Charter School</v>
      </c>
    </row>
    <row r="2" spans="1:19" ht="18" x14ac:dyDescent="0.2">
      <c r="A2" s="21" t="s">
        <v>820</v>
      </c>
    </row>
    <row r="3" spans="1:19" ht="18" x14ac:dyDescent="0.2">
      <c r="A3" s="21" t="str">
        <f>'Student Info'!G7</f>
        <v>2018-19</v>
      </c>
    </row>
    <row r="5" spans="1:19" ht="18" x14ac:dyDescent="0.2">
      <c r="A5" s="29"/>
      <c r="B5" s="41"/>
      <c r="C5" s="29"/>
      <c r="D5" s="96"/>
      <c r="E5" s="96"/>
      <c r="F5" s="96"/>
      <c r="G5" s="96"/>
      <c r="H5" s="96"/>
      <c r="I5" s="96"/>
      <c r="J5" s="96"/>
      <c r="K5" s="96"/>
      <c r="L5" s="96"/>
      <c r="M5" s="96"/>
      <c r="N5" s="96"/>
      <c r="O5" s="96"/>
      <c r="P5" s="96"/>
      <c r="Q5" s="96"/>
      <c r="R5" s="96"/>
    </row>
    <row r="6" spans="1:19"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19" ht="18" x14ac:dyDescent="0.2">
      <c r="A7" s="47" t="s">
        <v>794</v>
      </c>
      <c r="B7" s="87"/>
      <c r="D7" s="31"/>
      <c r="F7" s="97"/>
      <c r="G7" s="97"/>
      <c r="H7" s="97"/>
      <c r="I7" s="31"/>
      <c r="J7" s="31"/>
      <c r="K7" s="97"/>
      <c r="L7" s="97"/>
      <c r="M7" s="97"/>
      <c r="N7" s="97"/>
      <c r="O7" s="97"/>
      <c r="P7" s="97"/>
      <c r="Q7" s="97"/>
      <c r="R7" s="97"/>
    </row>
    <row r="8" spans="1:19" ht="18" hidden="1" x14ac:dyDescent="0.2">
      <c r="A8" s="47"/>
      <c r="B8" s="87"/>
      <c r="C8" s="125" t="s">
        <v>821</v>
      </c>
      <c r="D8" s="110"/>
      <c r="F8" s="97"/>
      <c r="G8" s="97"/>
      <c r="H8" s="97"/>
      <c r="I8" s="31"/>
      <c r="J8" s="31"/>
      <c r="K8" s="97"/>
      <c r="L8" s="97"/>
      <c r="M8" s="97"/>
      <c r="N8" s="97"/>
      <c r="O8" s="97"/>
      <c r="P8" s="97"/>
      <c r="Q8" s="97"/>
      <c r="R8" s="97"/>
    </row>
    <row r="9" spans="1:19" ht="18" hidden="1" x14ac:dyDescent="0.2">
      <c r="A9" s="47"/>
      <c r="B9" s="87"/>
      <c r="C9" s="89"/>
      <c r="D9" s="99"/>
      <c r="E9" s="114"/>
      <c r="F9" s="114"/>
      <c r="G9" s="114"/>
      <c r="H9" s="114"/>
      <c r="I9" s="114"/>
      <c r="J9" s="114"/>
      <c r="K9" s="114"/>
      <c r="L9" s="115"/>
      <c r="M9" s="114"/>
      <c r="N9" s="114"/>
      <c r="O9" s="115"/>
      <c r="P9" s="114"/>
      <c r="Q9" s="112"/>
      <c r="R9" s="112"/>
      <c r="S9" s="111"/>
    </row>
    <row r="10" spans="1:19" ht="18" hidden="1" x14ac:dyDescent="0.2">
      <c r="A10" s="47"/>
      <c r="B10" s="87"/>
      <c r="C10" s="89"/>
      <c r="D10" s="99"/>
      <c r="E10" s="116"/>
      <c r="F10" s="116"/>
      <c r="G10" s="114"/>
      <c r="H10" s="116"/>
      <c r="I10" s="116"/>
      <c r="J10" s="114"/>
      <c r="K10" s="116"/>
      <c r="L10" s="115"/>
      <c r="M10" s="117"/>
      <c r="N10" s="117"/>
      <c r="O10" s="117"/>
      <c r="P10" s="118"/>
      <c r="Q10" s="99"/>
      <c r="R10" s="112"/>
      <c r="S10" s="111"/>
    </row>
    <row r="11" spans="1:19" s="31" customFormat="1" ht="18" x14ac:dyDescent="0.2">
      <c r="B11" s="70" t="s">
        <v>779</v>
      </c>
      <c r="C11" s="49"/>
      <c r="D11" s="98"/>
      <c r="E11" s="98"/>
      <c r="F11" s="98"/>
      <c r="G11" s="98"/>
      <c r="H11" s="98"/>
      <c r="I11" s="98"/>
      <c r="J11" s="98"/>
      <c r="K11" s="98"/>
      <c r="L11" s="98"/>
      <c r="M11" s="98"/>
      <c r="N11" s="98"/>
      <c r="O11" s="98"/>
      <c r="P11" s="98"/>
      <c r="Q11" s="98"/>
      <c r="R11" s="98"/>
    </row>
    <row r="12" spans="1:19" s="31" customFormat="1" x14ac:dyDescent="0.2">
      <c r="A12" s="50"/>
      <c r="B12" s="65" t="str">
        <f>'Revenue Input'!B8</f>
        <v>8011</v>
      </c>
      <c r="C12" s="65" t="str">
        <f>'Revenue Input'!C8</f>
        <v>LCFF for all grades; state aid portion</v>
      </c>
      <c r="D12" s="64">
        <f>IF('Revenue Input'!$G8="","",IF('Cash Flow %s Yr4'!D12="","",'Cash Flow %s Yr4'!D12*'Revenue Input'!$G8))</f>
        <v>0</v>
      </c>
      <c r="E12" s="64">
        <f>IF('Revenue Input'!$G8="","",IF('Cash Flow %s Yr4'!E12="","",'Cash Flow %s Yr4'!E12*'Revenue Input'!$G8))</f>
        <v>30325.639729255003</v>
      </c>
      <c r="F12" s="64">
        <f>IF('Revenue Input'!$G8="","",IF('Cash Flow %s Yr4'!F12="","",'Cash Flow %s Yr4'!F12*'Revenue Input'!$G8))</f>
        <v>30325.639729255003</v>
      </c>
      <c r="G12" s="64">
        <f>IF('Revenue Input'!$G8="","",IF('Cash Flow %s Yr4'!G12="","",'Cash Flow %s Yr4'!G12*'Revenue Input'!$G8))</f>
        <v>54586.151512659002</v>
      </c>
      <c r="H12" s="64">
        <f>IF('Revenue Input'!$G8="","",IF('Cash Flow %s Yr4'!H12="","",'Cash Flow %s Yr4'!H12*'Revenue Input'!$G8))</f>
        <v>54586.151512659002</v>
      </c>
      <c r="I12" s="64">
        <f>IF('Revenue Input'!$G8="","",IF('Cash Flow %s Yr4'!I12="","",'Cash Flow %s Yr4'!I12*'Revenue Input'!$G8))</f>
        <v>54586.151512659002</v>
      </c>
      <c r="J12" s="64">
        <f>IF('Revenue Input'!$G8="","",IF('Cash Flow %s Yr4'!J12="","",'Cash Flow %s Yr4'!J12*'Revenue Input'!$G8))</f>
        <v>54586.151512659002</v>
      </c>
      <c r="K12" s="64">
        <f>IF('Revenue Input'!$G8="","",IF('Cash Flow %s Yr4'!K12="","",'Cash Flow %s Yr4'!K12*'Revenue Input'!$G8))</f>
        <v>54586.151512659002</v>
      </c>
      <c r="L12" s="64">
        <f>IF('Revenue Input'!$G8="","",IF('Cash Flow %s Yr4'!L12="","",'Cash Flow %s Yr4'!L12*'Revenue Input'!$G8))</f>
        <v>54586.151512659002</v>
      </c>
      <c r="M12" s="64">
        <f>IF('Revenue Input'!$G8="","",IF('Cash Flow %s Yr4'!M12="","",'Cash Flow %s Yr4'!M12*'Revenue Input'!$G8))</f>
        <v>54586.151512659002</v>
      </c>
      <c r="N12" s="64">
        <f>IF('Revenue Input'!$G8="","",IF('Cash Flow %s Yr4'!N12="","",'Cash Flow %s Yr4'!N12*'Revenue Input'!$G8))</f>
        <v>54586.151512659002</v>
      </c>
      <c r="O12" s="64">
        <f>IF('Revenue Input'!$G8="","",IF('Cash Flow %s Yr4'!O12="","",'Cash Flow %s Yr4'!O12*'Revenue Input'!$G8))</f>
        <v>54586.151512659002</v>
      </c>
      <c r="P12" s="64">
        <f>IF('Revenue Input'!$G8="","",IF('Cash Flow %s Yr4'!P12="","",'Cash Flow %s Yr4'!P12*'Revenue Input'!$G8))</f>
        <v>54586.151512659002</v>
      </c>
      <c r="Q12" s="64">
        <f>IF('Revenue Input'!$G8="","",IF('Cash Flow %s Yr4'!Q12="","",'Cash Flow %s Yr4'!Q12*'Revenue Input'!$G8))</f>
        <v>0</v>
      </c>
      <c r="R12" s="64">
        <f>IF('Revenue Input'!$G8="","",IF('Cash Flow %s Yr4'!R12="","",'Cash Flow %s Yr4'!R12*'Revenue Input'!$G8))</f>
        <v>0</v>
      </c>
      <c r="S12" s="111">
        <f>IF(SUM(D12:R12)&gt;0,SUM(D12:R12)/'Revenue Input'!$G8,"")</f>
        <v>1</v>
      </c>
    </row>
    <row r="13" spans="1:19" s="31" customFormat="1" x14ac:dyDescent="0.2">
      <c r="A13" s="50"/>
      <c r="B13" s="65" t="str">
        <f>'Revenue Input'!B9</f>
        <v>8012</v>
      </c>
      <c r="C13" s="65" t="str">
        <f>'Revenue Input'!C9</f>
        <v>LCFF for all grades; EPA portion</v>
      </c>
      <c r="D13" s="64">
        <f>IF('Revenue Input'!$G9="","",IF('Cash Flow %s Yr4'!D13="","",'Cash Flow %s Yr4'!D13*'Revenue Input'!$G9))</f>
        <v>0</v>
      </c>
      <c r="E13" s="64">
        <f>IF('Revenue Input'!$G9="","",IF('Cash Flow %s Yr4'!E13="","",'Cash Flow %s Yr4'!E13*'Revenue Input'!$G9))</f>
        <v>0</v>
      </c>
      <c r="F13" s="64">
        <f>IF('Revenue Input'!$G9="","",IF('Cash Flow %s Yr4'!F13="","",'Cash Flow %s Yr4'!F13*'Revenue Input'!$G9))</f>
        <v>0</v>
      </c>
      <c r="G13" s="64">
        <f>IF('Revenue Input'!$G9="","",IF('Cash Flow %s Yr4'!G13="","",'Cash Flow %s Yr4'!G13*'Revenue Input'!$G9))</f>
        <v>16517.105</v>
      </c>
      <c r="H13" s="64">
        <f>IF('Revenue Input'!$G9="","",IF('Cash Flow %s Yr4'!H13="","",'Cash Flow %s Yr4'!H13*'Revenue Input'!$G9))</f>
        <v>0</v>
      </c>
      <c r="I13" s="64">
        <f>IF('Revenue Input'!$G9="","",IF('Cash Flow %s Yr4'!I13="","",'Cash Flow %s Yr4'!I13*'Revenue Input'!$G9))</f>
        <v>0</v>
      </c>
      <c r="J13" s="64">
        <f>IF('Revenue Input'!$G9="","",IF('Cash Flow %s Yr4'!J13="","",'Cash Flow %s Yr4'!J13*'Revenue Input'!$G9))</f>
        <v>16517.105</v>
      </c>
      <c r="K13" s="64">
        <f>IF('Revenue Input'!$G9="","",IF('Cash Flow %s Yr4'!K13="","",'Cash Flow %s Yr4'!K13*'Revenue Input'!$G9))</f>
        <v>0</v>
      </c>
      <c r="L13" s="64">
        <f>IF('Revenue Input'!$G9="","",IF('Cash Flow %s Yr4'!L13="","",'Cash Flow %s Yr4'!L13*'Revenue Input'!$G9))</f>
        <v>0</v>
      </c>
      <c r="M13" s="64">
        <f>IF('Revenue Input'!$G9="","",IF('Cash Flow %s Yr4'!M13="","",'Cash Flow %s Yr4'!M13*'Revenue Input'!$G9))</f>
        <v>16517.105</v>
      </c>
      <c r="N13" s="64">
        <f>IF('Revenue Input'!$G9="","",IF('Cash Flow %s Yr4'!N13="","",'Cash Flow %s Yr4'!N13*'Revenue Input'!$G9))</f>
        <v>0</v>
      </c>
      <c r="O13" s="64">
        <f>IF('Revenue Input'!$G9="","",IF('Cash Flow %s Yr4'!O13="","",'Cash Flow %s Yr4'!O13*'Revenue Input'!$G9))</f>
        <v>0</v>
      </c>
      <c r="P13" s="64">
        <f>IF('Revenue Input'!$G9="","",IF('Cash Flow %s Yr4'!P13="","",'Cash Flow %s Yr4'!P13*'Revenue Input'!$G9))</f>
        <v>16517.105</v>
      </c>
      <c r="Q13" s="64">
        <f>IF('Revenue Input'!$G9="","",IF('Cash Flow %s Yr4'!Q13="","",'Cash Flow %s Yr4'!Q13*'Revenue Input'!$G9))</f>
        <v>0</v>
      </c>
      <c r="R13" s="64">
        <f>IF('Revenue Input'!$G9="","",IF('Cash Flow %s Yr4'!R13="","",'Cash Flow %s Yr4'!R13*'Revenue Input'!$G9))</f>
        <v>0</v>
      </c>
      <c r="S13" s="111">
        <f>IF(SUM(D13:R13)&gt;0,SUM(D13:R13)/'Revenue Input'!$G9,"")</f>
        <v>1</v>
      </c>
    </row>
    <row r="14" spans="1:19" s="31" customFormat="1" x14ac:dyDescent="0.2">
      <c r="A14" s="50"/>
      <c r="B14" s="65" t="str">
        <f>'Revenue Input'!B10</f>
        <v>8096</v>
      </c>
      <c r="C14" s="65" t="str">
        <f>'Revenue Input'!C10</f>
        <v>In-Lieu of Property Taxes, all grades</v>
      </c>
      <c r="D14" s="64">
        <f>IF('Revenue Input'!$G10="","",IF('Cash Flow %s Yr4'!D14="","",'Cash Flow %s Yr4'!D14*'Revenue Input'!$G10))</f>
        <v>0</v>
      </c>
      <c r="E14" s="64">
        <f>IF('Revenue Input'!$G10="","",IF('Cash Flow %s Yr4'!E14="","",'Cash Flow %s Yr4'!E14*'Revenue Input'!$G10))</f>
        <v>40947.896459999996</v>
      </c>
      <c r="F14" s="64">
        <f>IF('Revenue Input'!$G10="","",IF('Cash Flow %s Yr4'!F14="","",'Cash Flow %s Yr4'!F14*'Revenue Input'!$G10))</f>
        <v>27298.59764</v>
      </c>
      <c r="G14" s="64">
        <f>IF('Revenue Input'!$G10="","",IF('Cash Flow %s Yr4'!G14="","",'Cash Flow %s Yr4'!G14*'Revenue Input'!$G10))</f>
        <v>27298.59764</v>
      </c>
      <c r="H14" s="64">
        <f>IF('Revenue Input'!$G10="","",IF('Cash Flow %s Yr4'!H14="","",'Cash Flow %s Yr4'!H14*'Revenue Input'!$G10))</f>
        <v>27298.59764</v>
      </c>
      <c r="I14" s="64">
        <f>IF('Revenue Input'!$G10="","",IF('Cash Flow %s Yr4'!I14="","",'Cash Flow %s Yr4'!I14*'Revenue Input'!$G10))</f>
        <v>27298.59764</v>
      </c>
      <c r="J14" s="64">
        <f>IF('Revenue Input'!$G10="","",IF('Cash Flow %s Yr4'!J14="","",'Cash Flow %s Yr4'!J14*'Revenue Input'!$G10))</f>
        <v>27298.59764</v>
      </c>
      <c r="K14" s="64">
        <f>IF('Revenue Input'!$G10="","",IF('Cash Flow %s Yr4'!K14="","",'Cash Flow %s Yr4'!K14*'Revenue Input'!$G10))</f>
        <v>47772.545870000002</v>
      </c>
      <c r="L14" s="64">
        <f>IF('Revenue Input'!$G10="","",IF('Cash Flow %s Yr4'!L14="","",'Cash Flow %s Yr4'!L14*'Revenue Input'!$G10))</f>
        <v>23886.272935000001</v>
      </c>
      <c r="M14" s="64">
        <f>IF('Revenue Input'!$G10="","",IF('Cash Flow %s Yr4'!M14="","",'Cash Flow %s Yr4'!M14*'Revenue Input'!$G10))</f>
        <v>23886.272935000001</v>
      </c>
      <c r="N14" s="64">
        <f>IF('Revenue Input'!$G10="","",IF('Cash Flow %s Yr4'!N14="","",'Cash Flow %s Yr4'!N14*'Revenue Input'!$G10))</f>
        <v>23886.272935000001</v>
      </c>
      <c r="O14" s="64">
        <f>IF('Revenue Input'!$G10="","",IF('Cash Flow %s Yr4'!O14="","",'Cash Flow %s Yr4'!O14*'Revenue Input'!$G10))</f>
        <v>23886.272935000001</v>
      </c>
      <c r="P14" s="64">
        <f>IF('Revenue Input'!$G10="","",IF('Cash Flow %s Yr4'!P14="","",'Cash Flow %s Yr4'!P14*'Revenue Input'!$G10))</f>
        <v>0</v>
      </c>
      <c r="Q14" s="64">
        <f>IF('Revenue Input'!$G10="","",IF('Cash Flow %s Yr4'!Q14="","",'Cash Flow %s Yr4'!Q14*'Revenue Input'!$G10))</f>
        <v>0</v>
      </c>
      <c r="R14" s="64">
        <f>IF('Revenue Input'!$G10="","",IF('Cash Flow %s Yr4'!R14="","",'Cash Flow %s Yr4'!R14*'Revenue Input'!$G10))</f>
        <v>0</v>
      </c>
      <c r="S14" s="111">
        <f>IF(SUM(D14:R14)&gt;0,SUM(D14:R14)/'Revenue Input'!$G10,"")</f>
        <v>0.94000000000000006</v>
      </c>
    </row>
    <row r="15" spans="1:19" s="31" customFormat="1" x14ac:dyDescent="0.2">
      <c r="A15" s="50"/>
      <c r="B15" s="65" t="str">
        <f>'Revenue Input'!B11</f>
        <v>8599</v>
      </c>
      <c r="C15" s="65" t="str">
        <f>'Revenue Input'!C11</f>
        <v>Prior Year Income / Adjustments</v>
      </c>
      <c r="D15" s="64">
        <f>'Cash Flow $s Yr3'!P160</f>
        <v>87180.535486284381</v>
      </c>
      <c r="E15" s="64">
        <f>'Cash Flow $s Yr3'!Q160</f>
        <v>20193.473466780983</v>
      </c>
      <c r="F15" s="64">
        <f>'Cash Flow $s Yr3'!R160</f>
        <v>0</v>
      </c>
      <c r="G15" s="64" t="str">
        <f>IF('Revenue Input'!$G11="","",IF('Cash Flow %s Yr4'!G15="","",'Cash Flow %s Yr4'!G15*'Revenue Input'!$G11))</f>
        <v/>
      </c>
      <c r="H15" s="64" t="str">
        <f>IF('Revenue Input'!$G11="","",IF('Cash Flow %s Yr4'!H15="","",'Cash Flow %s Yr4'!H15*'Revenue Input'!$G11))</f>
        <v/>
      </c>
      <c r="I15" s="64" t="str">
        <f>IF('Revenue Input'!$G11="","",IF('Cash Flow %s Yr4'!I15="","",'Cash Flow %s Yr4'!I15*'Revenue Input'!$G11))</f>
        <v/>
      </c>
      <c r="J15" s="64" t="str">
        <f>IF('Revenue Input'!$G11="","",IF('Cash Flow %s Yr4'!J15="","",'Cash Flow %s Yr4'!J15*'Revenue Input'!$G11))</f>
        <v/>
      </c>
      <c r="K15" s="64" t="str">
        <f>IF('Revenue Input'!$G11="","",IF('Cash Flow %s Yr4'!K15="","",'Cash Flow %s Yr4'!K15*'Revenue Input'!$G11))</f>
        <v/>
      </c>
      <c r="L15" s="64" t="str">
        <f>IF('Revenue Input'!$G11="","",IF('Cash Flow %s Yr4'!L15="","",'Cash Flow %s Yr4'!L15*'Revenue Input'!$G11))</f>
        <v/>
      </c>
      <c r="M15" s="64" t="str">
        <f>IF('Revenue Input'!$G11="","",IF('Cash Flow %s Yr4'!M15="","",'Cash Flow %s Yr4'!M15*'Revenue Input'!$G11))</f>
        <v/>
      </c>
      <c r="N15" s="64" t="str">
        <f>IF('Revenue Input'!$G11="","",IF('Cash Flow %s Yr4'!N15="","",'Cash Flow %s Yr4'!N15*'Revenue Input'!$G11))</f>
        <v/>
      </c>
      <c r="O15" s="64" t="str">
        <f>IF('Revenue Input'!$G11="","",IF('Cash Flow %s Yr4'!O15="","",'Cash Flow %s Yr4'!O15*'Revenue Input'!$G11))</f>
        <v/>
      </c>
      <c r="P15" s="64" t="str">
        <f>IF('Revenue Input'!$G11="","",IF('Cash Flow %s Yr4'!P15="","",'Cash Flow %s Yr4'!P15*'Revenue Input'!$G11))</f>
        <v/>
      </c>
      <c r="Q15" s="64" t="str">
        <f>IF('Revenue Input'!$G11="","",IF('Cash Flow %s Yr4'!Q15="","",'Cash Flow %s Yr4'!Q15*'Revenue Input'!$G11))</f>
        <v/>
      </c>
      <c r="R15" s="64" t="str">
        <f>IF('Revenue Input'!$G11="","",IF('Cash Flow %s Yr4'!R15="","",'Cash Flow %s Yr4'!R15*'Revenue Input'!$G11))</f>
        <v/>
      </c>
      <c r="S15" s="111" t="e">
        <f>IF(SUM(D15:R15)&gt;0,SUM(D15:R15)/'Revenue Input'!$G11,"")</f>
        <v>#DIV/0!</v>
      </c>
    </row>
    <row r="16" spans="1:19" s="31" customFormat="1" x14ac:dyDescent="0.2">
      <c r="A16" s="50"/>
      <c r="B16" s="65" t="str">
        <f>'Revenue Input'!B12</f>
        <v>8181</v>
      </c>
      <c r="C16" s="65" t="str">
        <f>'Revenue Input'!C12</f>
        <v>Special Education</v>
      </c>
      <c r="D16" s="64" t="str">
        <f>IF('Revenue Input'!$G12="","",IF('Cash Flow %s Yr4'!D16="","",'Cash Flow %s Yr4'!D16*'Revenue Input'!$G12))</f>
        <v/>
      </c>
      <c r="E16" s="64" t="str">
        <f>IF('Revenue Input'!$G12="","",IF('Cash Flow %s Yr4'!E16="","",'Cash Flow %s Yr4'!E16*'Revenue Input'!$G12))</f>
        <v/>
      </c>
      <c r="F16" s="64" t="str">
        <f>IF('Revenue Input'!$G12="","",IF('Cash Flow %s Yr4'!F16="","",'Cash Flow %s Yr4'!F16*'Revenue Input'!$G12))</f>
        <v/>
      </c>
      <c r="G16" s="64" t="str">
        <f>IF('Revenue Input'!$G12="","",IF('Cash Flow %s Yr4'!G16="","",'Cash Flow %s Yr4'!G16*'Revenue Input'!$G12))</f>
        <v/>
      </c>
      <c r="H16" s="64" t="str">
        <f>IF('Revenue Input'!$G12="","",IF('Cash Flow %s Yr4'!H16="","",'Cash Flow %s Yr4'!H16*'Revenue Input'!$G12))</f>
        <v/>
      </c>
      <c r="I16" s="64" t="str">
        <f>IF('Revenue Input'!$G12="","",IF('Cash Flow %s Yr4'!I16="","",'Cash Flow %s Yr4'!I16*'Revenue Input'!$G12))</f>
        <v/>
      </c>
      <c r="J16" s="64" t="str">
        <f>IF('Revenue Input'!$G12="","",IF('Cash Flow %s Yr4'!J16="","",'Cash Flow %s Yr4'!J16*'Revenue Input'!$G12))</f>
        <v/>
      </c>
      <c r="K16" s="64" t="str">
        <f>IF('Revenue Input'!$G12="","",IF('Cash Flow %s Yr4'!K16="","",'Cash Flow %s Yr4'!K16*'Revenue Input'!$G12))</f>
        <v/>
      </c>
      <c r="L16" s="64" t="str">
        <f>IF('Revenue Input'!$G12="","",IF('Cash Flow %s Yr4'!L16="","",'Cash Flow %s Yr4'!L16*'Revenue Input'!$G12))</f>
        <v/>
      </c>
      <c r="M16" s="64" t="str">
        <f>IF('Revenue Input'!$G12="","",IF('Cash Flow %s Yr4'!M16="","",'Cash Flow %s Yr4'!M16*'Revenue Input'!$G12))</f>
        <v/>
      </c>
      <c r="N16" s="64" t="str">
        <f>IF('Revenue Input'!$G12="","",IF('Cash Flow %s Yr4'!N16="","",'Cash Flow %s Yr4'!N16*'Revenue Input'!$G12))</f>
        <v/>
      </c>
      <c r="O16" s="64" t="str">
        <f>IF('Revenue Input'!$G12="","",IF('Cash Flow %s Yr4'!O16="","",'Cash Flow %s Yr4'!O16*'Revenue Input'!$G12))</f>
        <v/>
      </c>
      <c r="P16" s="64" t="str">
        <f>IF('Revenue Input'!$G12="","",IF('Cash Flow %s Yr4'!P16="","",'Cash Flow %s Yr4'!P16*'Revenue Input'!$G12))</f>
        <v/>
      </c>
      <c r="Q16" s="64" t="str">
        <f>IF('Revenue Input'!$G12="","",IF('Cash Flow %s Yr4'!Q16="","",'Cash Flow %s Yr4'!Q16*'Revenue Input'!$G12))</f>
        <v/>
      </c>
      <c r="R16" s="64" t="str">
        <f>IF('Revenue Input'!$G12="","",IF('Cash Flow %s Yr4'!R16="","",'Cash Flow %s Yr4'!R16*'Revenue Input'!$G12))</f>
        <v/>
      </c>
      <c r="S16" s="111" t="str">
        <f>IF(SUM(D16:R16)&gt;0,SUM(D16:R16)/'Revenue Input'!$G12,"")</f>
        <v/>
      </c>
    </row>
    <row r="17" spans="1:19" s="31" customFormat="1" x14ac:dyDescent="0.2">
      <c r="A17" s="50"/>
      <c r="B17" s="65" t="str">
        <f>'Revenue Input'!B13</f>
        <v>8560</v>
      </c>
      <c r="C17" s="65" t="str">
        <f>'Revenue Input'!C13</f>
        <v>Lottery</v>
      </c>
      <c r="D17" s="64">
        <f>IF('Revenue Input'!$G13="","",IF('Cash Flow %s Yr4'!D17="","",'Cash Flow %s Yr4'!D17*'Revenue Input'!$G13))</f>
        <v>0</v>
      </c>
      <c r="E17" s="64">
        <f>IF('Revenue Input'!$G13="","",IF('Cash Flow %s Yr4'!E17="","",'Cash Flow %s Yr4'!E17*'Revenue Input'!$G13))</f>
        <v>0</v>
      </c>
      <c r="F17" s="64">
        <f>IF('Revenue Input'!$G13="","",IF('Cash Flow %s Yr4'!F17="","",'Cash Flow %s Yr4'!F17*'Revenue Input'!$G13))</f>
        <v>0</v>
      </c>
      <c r="G17" s="64">
        <f>IF('Revenue Input'!$G13="","",IF('Cash Flow %s Yr4'!G17="","",'Cash Flow %s Yr4'!G17*'Revenue Input'!$G13))</f>
        <v>0</v>
      </c>
      <c r="H17" s="64">
        <f>IF('Revenue Input'!$G13="","",IF('Cash Flow %s Yr4'!H17="","",'Cash Flow %s Yr4'!H17*'Revenue Input'!$G13))</f>
        <v>0</v>
      </c>
      <c r="I17" s="64">
        <f>IF('Revenue Input'!$G13="","",IF('Cash Flow %s Yr4'!I17="","",'Cash Flow %s Yr4'!I17*'Revenue Input'!$G13))</f>
        <v>5060.3074999999999</v>
      </c>
      <c r="J17" s="64">
        <f>IF('Revenue Input'!$G13="","",IF('Cash Flow %s Yr4'!J17="","",'Cash Flow %s Yr4'!J17*'Revenue Input'!$G13))</f>
        <v>0</v>
      </c>
      <c r="K17" s="64">
        <f>IF('Revenue Input'!$G13="","",IF('Cash Flow %s Yr4'!K17="","",'Cash Flow %s Yr4'!K17*'Revenue Input'!$G13))</f>
        <v>5060.3074999999999</v>
      </c>
      <c r="L17" s="64">
        <f>IF('Revenue Input'!$G13="","",IF('Cash Flow %s Yr4'!L17="","",'Cash Flow %s Yr4'!L17*'Revenue Input'!$G13))</f>
        <v>0</v>
      </c>
      <c r="M17" s="64">
        <f>IF('Revenue Input'!$G13="","",IF('Cash Flow %s Yr4'!M17="","",'Cash Flow %s Yr4'!M17*'Revenue Input'!$G13))</f>
        <v>5060.3074999999999</v>
      </c>
      <c r="N17" s="64">
        <f>IF('Revenue Input'!$G13="","",IF('Cash Flow %s Yr4'!N17="","",'Cash Flow %s Yr4'!N17*'Revenue Input'!$G13))</f>
        <v>0</v>
      </c>
      <c r="O17" s="64">
        <f>IF('Revenue Input'!$G13="","",IF('Cash Flow %s Yr4'!O17="","",'Cash Flow %s Yr4'!O17*'Revenue Input'!$G13))</f>
        <v>0</v>
      </c>
      <c r="P17" s="64">
        <f>IF('Revenue Input'!$G13="","",IF('Cash Flow %s Yr4'!P17="","",'Cash Flow %s Yr4'!P17*'Revenue Input'!$G13))</f>
        <v>5060.3074999999999</v>
      </c>
      <c r="Q17" s="64">
        <f>IF('Revenue Input'!$G13="","",IF('Cash Flow %s Yr4'!Q17="","",'Cash Flow %s Yr4'!Q17*'Revenue Input'!$G13))</f>
        <v>0</v>
      </c>
      <c r="R17" s="64">
        <f>IF('Revenue Input'!$G13="","",IF('Cash Flow %s Yr4'!R17="","",'Cash Flow %s Yr4'!R17*'Revenue Input'!$G13))</f>
        <v>0</v>
      </c>
      <c r="S17" s="111">
        <f>IF(SUM(D17:R17)&gt;0,SUM(D17:R17)/'Revenue Input'!$G13,"")</f>
        <v>1</v>
      </c>
    </row>
    <row r="18" spans="1:19" s="31" customFormat="1" x14ac:dyDescent="0.2">
      <c r="A18" s="49"/>
      <c r="B18" s="65" t="str">
        <f>'Revenue Input'!B14</f>
        <v>8520</v>
      </c>
      <c r="C18" s="65" t="str">
        <f>'Revenue Input'!C14</f>
        <v>State Child Nutrition program</v>
      </c>
      <c r="D18" s="64" t="str">
        <f>IF('Revenue Input'!$G14="","",IF('Cash Flow %s Yr4'!D18="","",'Cash Flow %s Yr4'!D18*'Revenue Input'!$G14))</f>
        <v/>
      </c>
      <c r="E18" s="64" t="str">
        <f>IF('Revenue Input'!$G14="","",IF('Cash Flow %s Yr4'!E18="","",'Cash Flow %s Yr4'!E18*'Revenue Input'!$G14))</f>
        <v/>
      </c>
      <c r="F18" s="64" t="str">
        <f>IF('Revenue Input'!$G14="","",IF('Cash Flow %s Yr4'!F18="","",'Cash Flow %s Yr4'!F18*'Revenue Input'!$G14))</f>
        <v/>
      </c>
      <c r="G18" s="64" t="str">
        <f>IF('Revenue Input'!$G14="","",IF('Cash Flow %s Yr4'!G18="","",'Cash Flow %s Yr4'!G18*'Revenue Input'!$G14))</f>
        <v/>
      </c>
      <c r="H18" s="64" t="str">
        <f>IF('Revenue Input'!$G14="","",IF('Cash Flow %s Yr4'!H18="","",'Cash Flow %s Yr4'!H18*'Revenue Input'!$G14))</f>
        <v/>
      </c>
      <c r="I18" s="64" t="str">
        <f>IF('Revenue Input'!$G14="","",IF('Cash Flow %s Yr4'!I18="","",'Cash Flow %s Yr4'!I18*'Revenue Input'!$G14))</f>
        <v/>
      </c>
      <c r="J18" s="64" t="str">
        <f>IF('Revenue Input'!$G14="","",IF('Cash Flow %s Yr4'!J18="","",'Cash Flow %s Yr4'!J18*'Revenue Input'!$G14))</f>
        <v/>
      </c>
      <c r="K18" s="64" t="str">
        <f>IF('Revenue Input'!$G14="","",IF('Cash Flow %s Yr4'!K18="","",'Cash Flow %s Yr4'!K18*'Revenue Input'!$G14))</f>
        <v/>
      </c>
      <c r="L18" s="64" t="str">
        <f>IF('Revenue Input'!$G14="","",IF('Cash Flow %s Yr4'!L18="","",'Cash Flow %s Yr4'!L18*'Revenue Input'!$G14))</f>
        <v/>
      </c>
      <c r="M18" s="64" t="str">
        <f>IF('Revenue Input'!$G14="","",IF('Cash Flow %s Yr4'!M18="","",'Cash Flow %s Yr4'!M18*'Revenue Input'!$G14))</f>
        <v/>
      </c>
      <c r="N18" s="64" t="str">
        <f>IF('Revenue Input'!$G14="","",IF('Cash Flow %s Yr4'!N18="","",'Cash Flow %s Yr4'!N18*'Revenue Input'!$G14))</f>
        <v/>
      </c>
      <c r="O18" s="64" t="str">
        <f>IF('Revenue Input'!$G14="","",IF('Cash Flow %s Yr4'!O18="","",'Cash Flow %s Yr4'!O18*'Revenue Input'!$G14))</f>
        <v/>
      </c>
      <c r="P18" s="64" t="str">
        <f>IF('Revenue Input'!$G14="","",IF('Cash Flow %s Yr4'!P18="","",'Cash Flow %s Yr4'!P18*'Revenue Input'!$G14))</f>
        <v/>
      </c>
      <c r="Q18" s="64" t="str">
        <f>IF('Revenue Input'!$G14="","",IF('Cash Flow %s Yr4'!Q18="","",'Cash Flow %s Yr4'!Q18*'Revenue Input'!$G14))</f>
        <v/>
      </c>
      <c r="R18" s="64" t="str">
        <f>IF('Revenue Input'!$G14="","",IF('Cash Flow %s Yr4'!R18="","",'Cash Flow %s Yr4'!R18*'Revenue Input'!$G14))</f>
        <v/>
      </c>
      <c r="S18" s="111" t="str">
        <f>IF(SUM(D18:R18)&gt;0,SUM(D18:R18)/'Revenue Input'!$G14,"")</f>
        <v/>
      </c>
    </row>
    <row r="19" spans="1:19" s="31" customFormat="1" x14ac:dyDescent="0.2">
      <c r="A19" s="50"/>
      <c r="B19" s="65" t="str">
        <f>'Revenue Input'!B15</f>
        <v>8591</v>
      </c>
      <c r="C19" s="65" t="str">
        <f>'Revenue Input'!C15</f>
        <v>SB 740 Rent re-imbursement program</v>
      </c>
      <c r="D19" s="64">
        <f>IF('Revenue Input'!$G15="","",IF('Cash Flow %s Yr4'!D19="","",'Cash Flow %s Yr4'!D19*'Revenue Input'!$G15))</f>
        <v>0</v>
      </c>
      <c r="E19" s="64">
        <f>IF('Revenue Input'!$G15="","",IF('Cash Flow %s Yr4'!E19="","",'Cash Flow %s Yr4'!E19*'Revenue Input'!$G15))</f>
        <v>0</v>
      </c>
      <c r="F19" s="64">
        <f>IF('Revenue Input'!$G15="","",IF('Cash Flow %s Yr4'!F19="","",'Cash Flow %s Yr4'!F19*'Revenue Input'!$G15))</f>
        <v>0</v>
      </c>
      <c r="G19" s="64">
        <f>IF('Revenue Input'!$G15="","",IF('Cash Flow %s Yr4'!G19="","",'Cash Flow %s Yr4'!G19*'Revenue Input'!$G15))</f>
        <v>0</v>
      </c>
      <c r="H19" s="64">
        <f>IF('Revenue Input'!$G15="","",IF('Cash Flow %s Yr4'!H19="","",'Cash Flow %s Yr4'!H19*'Revenue Input'!$G15))</f>
        <v>10238.980980937498</v>
      </c>
      <c r="I19" s="64">
        <f>IF('Revenue Input'!$G15="","",IF('Cash Flow %s Yr4'!I19="","",'Cash Flow %s Yr4'!I19*'Revenue Input'!$G15))</f>
        <v>0</v>
      </c>
      <c r="J19" s="64">
        <f>IF('Revenue Input'!$G15="","",IF('Cash Flow %s Yr4'!J19="","",'Cash Flow %s Yr4'!J19*'Revenue Input'!$G15))</f>
        <v>0</v>
      </c>
      <c r="K19" s="64">
        <f>IF('Revenue Input'!$G15="","",IF('Cash Flow %s Yr4'!K19="","",'Cash Flow %s Yr4'!K19*'Revenue Input'!$G15))</f>
        <v>10238.980980937498</v>
      </c>
      <c r="L19" s="64">
        <f>IF('Revenue Input'!$G15="","",IF('Cash Flow %s Yr4'!L19="","",'Cash Flow %s Yr4'!L19*'Revenue Input'!$G15))</f>
        <v>0</v>
      </c>
      <c r="M19" s="64">
        <f>IF('Revenue Input'!$G15="","",IF('Cash Flow %s Yr4'!M19="","",'Cash Flow %s Yr4'!M19*'Revenue Input'!$G15))</f>
        <v>0</v>
      </c>
      <c r="N19" s="64">
        <f>IF('Revenue Input'!$G15="","",IF('Cash Flow %s Yr4'!N19="","",'Cash Flow %s Yr4'!N19*'Revenue Input'!$G15))</f>
        <v>10238.980980937498</v>
      </c>
      <c r="O19" s="64">
        <f>IF('Revenue Input'!$G15="","",IF('Cash Flow %s Yr4'!O19="","",'Cash Flow %s Yr4'!O19*'Revenue Input'!$G15))</f>
        <v>0</v>
      </c>
      <c r="P19" s="64">
        <f>IF('Revenue Input'!$G15="","",IF('Cash Flow %s Yr4'!P19="","",'Cash Flow %s Yr4'!P19*'Revenue Input'!$G15))</f>
        <v>0</v>
      </c>
      <c r="Q19" s="64">
        <f>IF('Revenue Input'!$G15="","",IF('Cash Flow %s Yr4'!Q19="","",'Cash Flow %s Yr4'!Q19*'Revenue Input'!$G15))</f>
        <v>10238.980980937498</v>
      </c>
      <c r="R19" s="64">
        <f>IF('Revenue Input'!$G15="","",IF('Cash Flow %s Yr4'!R19="","",'Cash Flow %s Yr4'!R19*'Revenue Input'!$G15))</f>
        <v>0</v>
      </c>
      <c r="S19" s="111">
        <f>IF(SUM(D19:R19)&gt;0,SUM(D19:R19)/'Revenue Input'!$G15,"")</f>
        <v>1</v>
      </c>
    </row>
    <row r="20" spans="1:19" s="31" customFormat="1" ht="18" x14ac:dyDescent="0.2">
      <c r="A20" s="47"/>
      <c r="B20" s="65" t="str">
        <f>'Revenue Input'!B16</f>
        <v>8590</v>
      </c>
      <c r="C20" s="65" t="str">
        <f>'Revenue Input'!C16</f>
        <v>Educator Effectiveness</v>
      </c>
      <c r="D20" s="64" t="str">
        <f>IF('Revenue Input'!$G16="","",IF('Cash Flow %s Yr4'!D20="","",'Cash Flow %s Yr4'!D20*'Revenue Input'!$G16))</f>
        <v/>
      </c>
      <c r="E20" s="64" t="str">
        <f>IF('Revenue Input'!$G16="","",IF('Cash Flow %s Yr4'!E20="","",'Cash Flow %s Yr4'!E20*'Revenue Input'!$G16))</f>
        <v/>
      </c>
      <c r="F20" s="64" t="str">
        <f>IF('Revenue Input'!$G16="","",IF('Cash Flow %s Yr4'!F20="","",'Cash Flow %s Yr4'!F20*'Revenue Input'!$G16))</f>
        <v/>
      </c>
      <c r="G20" s="64" t="str">
        <f>IF('Revenue Input'!$G16="","",IF('Cash Flow %s Yr4'!G20="","",'Cash Flow %s Yr4'!G20*'Revenue Input'!$G16))</f>
        <v/>
      </c>
      <c r="H20" s="64" t="str">
        <f>IF('Revenue Input'!$G16="","",IF('Cash Flow %s Yr4'!H20="","",'Cash Flow %s Yr4'!H20*'Revenue Input'!$G16))</f>
        <v/>
      </c>
      <c r="I20" s="64" t="str">
        <f>IF('Revenue Input'!$G16="","",IF('Cash Flow %s Yr4'!I20="","",'Cash Flow %s Yr4'!I20*'Revenue Input'!$G16))</f>
        <v/>
      </c>
      <c r="J20" s="64" t="str">
        <f>IF('Revenue Input'!$G16="","",IF('Cash Flow %s Yr4'!J20="","",'Cash Flow %s Yr4'!J20*'Revenue Input'!$G16))</f>
        <v/>
      </c>
      <c r="K20" s="64" t="str">
        <f>IF('Revenue Input'!$G16="","",IF('Cash Flow %s Yr4'!K20="","",'Cash Flow %s Yr4'!K20*'Revenue Input'!$G16))</f>
        <v/>
      </c>
      <c r="L20" s="64" t="str">
        <f>IF('Revenue Input'!$G16="","",IF('Cash Flow %s Yr4'!L20="","",'Cash Flow %s Yr4'!L20*'Revenue Input'!$G16))</f>
        <v/>
      </c>
      <c r="M20" s="64" t="str">
        <f>IF('Revenue Input'!$G16="","",IF('Cash Flow %s Yr4'!M20="","",'Cash Flow %s Yr4'!M20*'Revenue Input'!$G16))</f>
        <v/>
      </c>
      <c r="N20" s="64" t="str">
        <f>IF('Revenue Input'!$G16="","",IF('Cash Flow %s Yr4'!N20="","",'Cash Flow %s Yr4'!N20*'Revenue Input'!$G16))</f>
        <v/>
      </c>
      <c r="O20" s="64" t="str">
        <f>IF('Revenue Input'!$G16="","",IF('Cash Flow %s Yr4'!O20="","",'Cash Flow %s Yr4'!O20*'Revenue Input'!$G16))</f>
        <v/>
      </c>
      <c r="P20" s="64" t="str">
        <f>IF('Revenue Input'!$G16="","",IF('Cash Flow %s Yr4'!P20="","",'Cash Flow %s Yr4'!P20*'Revenue Input'!$G16))</f>
        <v/>
      </c>
      <c r="Q20" s="64" t="str">
        <f>IF('Revenue Input'!$G16="","",IF('Cash Flow %s Yr4'!Q20="","",'Cash Flow %s Yr4'!Q20*'Revenue Input'!$G16))</f>
        <v/>
      </c>
      <c r="R20" s="64" t="str">
        <f>IF('Revenue Input'!$G16="","",IF('Cash Flow %s Yr4'!R20="","",'Cash Flow %s Yr4'!R20*'Revenue Input'!$G16))</f>
        <v/>
      </c>
      <c r="S20" s="111" t="str">
        <f>IF(SUM(D20:R20)&gt;0,SUM(D20:R20)/'Revenue Input'!$G16,"")</f>
        <v/>
      </c>
    </row>
    <row r="21" spans="1:19" s="31" customFormat="1" ht="18" x14ac:dyDescent="0.2">
      <c r="A21" s="47"/>
      <c r="B21" s="65" t="str">
        <f>'Revenue Input'!B17</f>
        <v>8550</v>
      </c>
      <c r="C21" s="65" t="str">
        <f>'Revenue Input'!C17</f>
        <v>Mandate Block Grant</v>
      </c>
      <c r="D21" s="64">
        <f>IF('Revenue Input'!$G17="","",IF('Cash Flow %s Yr4'!D22="","",'Cash Flow %s Yr4'!D22*'Revenue Input'!$G17))</f>
        <v>0</v>
      </c>
      <c r="E21" s="64">
        <f>IF('Revenue Input'!$G17="","",IF('Cash Flow %s Yr4'!E22="","",'Cash Flow %s Yr4'!E22*'Revenue Input'!$G17))</f>
        <v>0</v>
      </c>
      <c r="F21" s="64">
        <f>IF('Revenue Input'!$G17="","",IF('Cash Flow %s Yr4'!F22="","",'Cash Flow %s Yr4'!F22*'Revenue Input'!$G17))</f>
        <v>0</v>
      </c>
      <c r="G21" s="64">
        <f>IF('Revenue Input'!$G17="","",IF('Cash Flow %s Yr4'!G22="","",'Cash Flow %s Yr4'!G22*'Revenue Input'!$G17))</f>
        <v>0</v>
      </c>
      <c r="H21" s="64">
        <f>IF('Revenue Input'!$G17="","",IF('Cash Flow %s Yr4'!H22="","",'Cash Flow %s Yr4'!H22*'Revenue Input'!$G17))</f>
        <v>0</v>
      </c>
      <c r="I21" s="64">
        <f>IF('Revenue Input'!$G17="","",IF('Cash Flow %s Yr4'!I22="","",'Cash Flow %s Yr4'!I22*'Revenue Input'!$G17))</f>
        <v>1777.6940765099998</v>
      </c>
      <c r="J21" s="64">
        <f>IF('Revenue Input'!$G17="","",IF('Cash Flow %s Yr4'!J22="","",'Cash Flow %s Yr4'!J22*'Revenue Input'!$G17))</f>
        <v>0</v>
      </c>
      <c r="K21" s="64">
        <f>IF('Revenue Input'!$G17="","",IF('Cash Flow %s Yr4'!K22="","",'Cash Flow %s Yr4'!K22*'Revenue Input'!$G17))</f>
        <v>0</v>
      </c>
      <c r="L21" s="64">
        <f>IF('Revenue Input'!$G17="","",IF('Cash Flow %s Yr4'!L22="","",'Cash Flow %s Yr4'!L22*'Revenue Input'!$G17))</f>
        <v>444.42351912749996</v>
      </c>
      <c r="M21" s="64">
        <f>IF('Revenue Input'!$G17="","",IF('Cash Flow %s Yr4'!M22="","",'Cash Flow %s Yr4'!M22*'Revenue Input'!$G17))</f>
        <v>0</v>
      </c>
      <c r="N21" s="64">
        <f>IF('Revenue Input'!$G17="","",IF('Cash Flow %s Yr4'!N22="","",'Cash Flow %s Yr4'!N22*'Revenue Input'!$G17))</f>
        <v>0</v>
      </c>
      <c r="O21" s="64">
        <f>IF('Revenue Input'!$G17="","",IF('Cash Flow %s Yr4'!O22="","",'Cash Flow %s Yr4'!O22*'Revenue Input'!$G17))</f>
        <v>0</v>
      </c>
      <c r="P21" s="64">
        <f>IF('Revenue Input'!$G17="","",IF('Cash Flow %s Yr4'!P22="","",'Cash Flow %s Yr4'!P22*'Revenue Input'!$G17))</f>
        <v>0</v>
      </c>
      <c r="Q21" s="64">
        <f>IF('Revenue Input'!$G17="","",IF('Cash Flow %s Yr4'!Q22="","",'Cash Flow %s Yr4'!Q22*'Revenue Input'!$G17))</f>
        <v>0</v>
      </c>
      <c r="R21" s="64">
        <f>IF('Revenue Input'!$G17="","",IF('Cash Flow %s Yr4'!R22="","",'Cash Flow %s Yr4'!R22*'Revenue Input'!$G17))</f>
        <v>0</v>
      </c>
      <c r="S21" s="111">
        <f>IF(SUM(D21:R21)&gt;0,SUM(D21:R21)/'Revenue Input'!$G17,"")</f>
        <v>1.0000000000000002</v>
      </c>
    </row>
    <row r="22" spans="1:19" s="31" customFormat="1" ht="18" x14ac:dyDescent="0.2">
      <c r="A22" s="47"/>
      <c r="B22" s="65" t="str">
        <f>'Revenue Input'!B18</f>
        <v>8550</v>
      </c>
      <c r="C22" s="65" t="str">
        <f>'Revenue Input'!C18</f>
        <v>One Time Block Grant</v>
      </c>
      <c r="D22" s="64" t="str">
        <f>IF('Revenue Input'!$G18="","",IF('Cash Flow %s Yr4'!D22="","",'Cash Flow %s Yr4'!D22*'Revenue Input'!$G18))</f>
        <v/>
      </c>
      <c r="E22" s="64" t="str">
        <f>IF('Revenue Input'!$G18="","",IF('Cash Flow %s Yr4'!E22="","",'Cash Flow %s Yr4'!E22*'Revenue Input'!$G18))</f>
        <v/>
      </c>
      <c r="F22" s="64" t="str">
        <f>IF('Revenue Input'!$G18="","",IF('Cash Flow %s Yr4'!F22="","",'Cash Flow %s Yr4'!F22*'Revenue Input'!$G18))</f>
        <v/>
      </c>
      <c r="G22" s="64" t="str">
        <f>IF('Revenue Input'!$G18="","",IF('Cash Flow %s Yr4'!G22="","",'Cash Flow %s Yr4'!G22*'Revenue Input'!$G18))</f>
        <v/>
      </c>
      <c r="H22" s="64" t="str">
        <f>IF('Revenue Input'!$G18="","",IF('Cash Flow %s Yr4'!H22="","",'Cash Flow %s Yr4'!H22*'Revenue Input'!$G18))</f>
        <v/>
      </c>
      <c r="I22" s="64" t="str">
        <f>IF('Revenue Input'!$G18="","",IF('Cash Flow %s Yr4'!I22="","",'Cash Flow %s Yr4'!I22*'Revenue Input'!$G18))</f>
        <v/>
      </c>
      <c r="J22" s="64" t="str">
        <f>IF('Revenue Input'!$G18="","",IF('Cash Flow %s Yr4'!J22="","",'Cash Flow %s Yr4'!J22*'Revenue Input'!$G18))</f>
        <v/>
      </c>
      <c r="K22" s="64" t="str">
        <f>IF('Revenue Input'!$G18="","",IF('Cash Flow %s Yr4'!K22="","",'Cash Flow %s Yr4'!K22*'Revenue Input'!$G18))</f>
        <v/>
      </c>
      <c r="L22" s="64" t="str">
        <f>IF('Revenue Input'!$G18="","",IF('Cash Flow %s Yr4'!L22="","",'Cash Flow %s Yr4'!L22*'Revenue Input'!$G18))</f>
        <v/>
      </c>
      <c r="M22" s="64" t="str">
        <f>IF('Revenue Input'!$G18="","",IF('Cash Flow %s Yr4'!M22="","",'Cash Flow %s Yr4'!M22*'Revenue Input'!$G18))</f>
        <v/>
      </c>
      <c r="N22" s="64" t="str">
        <f>IF('Revenue Input'!$G18="","",IF('Cash Flow %s Yr4'!N22="","",'Cash Flow %s Yr4'!N22*'Revenue Input'!$G18))</f>
        <v/>
      </c>
      <c r="O22" s="64" t="str">
        <f>IF('Revenue Input'!$G18="","",IF('Cash Flow %s Yr4'!O22="","",'Cash Flow %s Yr4'!O22*'Revenue Input'!$G18))</f>
        <v/>
      </c>
      <c r="P22" s="64" t="str">
        <f>IF('Revenue Input'!$G18="","",IF('Cash Flow %s Yr4'!P22="","",'Cash Flow %s Yr4'!P22*'Revenue Input'!$G18))</f>
        <v/>
      </c>
      <c r="Q22" s="64" t="str">
        <f>IF('Revenue Input'!$G18="","",IF('Cash Flow %s Yr4'!Q22="","",'Cash Flow %s Yr4'!Q22*'Revenue Input'!$G18))</f>
        <v/>
      </c>
      <c r="R22" s="64" t="str">
        <f>IF('Revenue Input'!$G18="","",IF('Cash Flow %s Yr4'!R22="","",'Cash Flow %s Yr4'!R22*'Revenue Input'!$G18))</f>
        <v/>
      </c>
      <c r="S22" s="111" t="str">
        <f>IF(SUM(D22:R22)&gt;0,SUM(D22:R22)/'Revenue Input'!$G18,"")</f>
        <v/>
      </c>
    </row>
    <row r="23" spans="1:19" s="31" customFormat="1" ht="18" x14ac:dyDescent="0.2">
      <c r="A23" s="47"/>
      <c r="B23" s="73"/>
      <c r="C23" s="34" t="s">
        <v>721</v>
      </c>
      <c r="D23" s="172">
        <f>SUM(D12:D22)</f>
        <v>87180.535486284381</v>
      </c>
      <c r="E23" s="172">
        <f t="shared" ref="E23:R23" si="0">SUM(E12:E22)</f>
        <v>91467.009656035982</v>
      </c>
      <c r="F23" s="172">
        <f t="shared" si="0"/>
        <v>57624.237369255003</v>
      </c>
      <c r="G23" s="172">
        <f t="shared" si="0"/>
        <v>98401.854152659012</v>
      </c>
      <c r="H23" s="172">
        <f t="shared" si="0"/>
        <v>92123.730133596502</v>
      </c>
      <c r="I23" s="172">
        <f t="shared" si="0"/>
        <v>88722.750729168998</v>
      </c>
      <c r="J23" s="172">
        <f t="shared" si="0"/>
        <v>98401.854152659012</v>
      </c>
      <c r="K23" s="172">
        <f t="shared" si="0"/>
        <v>117657.98586359651</v>
      </c>
      <c r="L23" s="172">
        <f t="shared" si="0"/>
        <v>78916.847966786489</v>
      </c>
      <c r="M23" s="172">
        <f t="shared" si="0"/>
        <v>100049.836947659</v>
      </c>
      <c r="N23" s="172">
        <f t="shared" si="0"/>
        <v>88711.405428596496</v>
      </c>
      <c r="O23" s="172">
        <f t="shared" si="0"/>
        <v>78472.424447658996</v>
      </c>
      <c r="P23" s="172">
        <f t="shared" si="0"/>
        <v>76163.564012659001</v>
      </c>
      <c r="Q23" s="172">
        <f t="shared" si="0"/>
        <v>10238.980980937498</v>
      </c>
      <c r="R23" s="172">
        <f t="shared" si="0"/>
        <v>0</v>
      </c>
      <c r="S23" s="111"/>
    </row>
    <row r="24" spans="1:19" s="31" customFormat="1" ht="18" x14ac:dyDescent="0.2">
      <c r="A24" s="47"/>
      <c r="B24" s="72"/>
      <c r="C24" s="50"/>
      <c r="D24" s="126"/>
      <c r="E24" s="126"/>
      <c r="F24" s="126"/>
      <c r="G24" s="126"/>
      <c r="H24" s="126"/>
      <c r="I24" s="126"/>
      <c r="J24" s="126"/>
      <c r="K24" s="126"/>
      <c r="L24" s="126"/>
      <c r="M24" s="126"/>
      <c r="N24" s="126"/>
      <c r="O24" s="126"/>
      <c r="P24" s="126"/>
      <c r="Q24" s="126"/>
      <c r="R24" s="126"/>
    </row>
    <row r="25" spans="1:19" s="31" customFormat="1" ht="18" x14ac:dyDescent="0.2">
      <c r="B25" s="47" t="s">
        <v>785</v>
      </c>
      <c r="C25" s="50"/>
      <c r="D25" s="126"/>
      <c r="E25" s="126"/>
      <c r="F25" s="126"/>
      <c r="G25" s="126"/>
      <c r="H25" s="126"/>
      <c r="I25" s="126"/>
      <c r="J25" s="126"/>
      <c r="K25" s="126"/>
      <c r="L25" s="126"/>
      <c r="M25" s="126"/>
      <c r="N25" s="126"/>
      <c r="O25" s="126"/>
      <c r="P25" s="126"/>
      <c r="Q25" s="126"/>
      <c r="R25" s="126"/>
    </row>
    <row r="26" spans="1:19" s="31" customFormat="1" ht="18" x14ac:dyDescent="0.2">
      <c r="A26" s="47"/>
      <c r="B26" s="65" t="str">
        <f>'Revenue Input'!B22</f>
        <v>8220</v>
      </c>
      <c r="C26" s="65" t="str">
        <f>'Revenue Input'!C22</f>
        <v>Federal Child Nutrition Programs</v>
      </c>
      <c r="D26" s="64" t="str">
        <f>IF('Revenue Input'!$G22="","",IF('Cash Flow %s Yr4'!D26="","",'Cash Flow %s Yr4'!D26*'Revenue Input'!$G22))</f>
        <v/>
      </c>
      <c r="E26" s="64" t="str">
        <f>IF('Revenue Input'!$G22="","",IF('Cash Flow %s Yr4'!E26="","",'Cash Flow %s Yr4'!E26*'Revenue Input'!$G22))</f>
        <v/>
      </c>
      <c r="F26" s="64" t="str">
        <f>IF('Revenue Input'!$G22="","",IF('Cash Flow %s Yr4'!F26="","",'Cash Flow %s Yr4'!F26*'Revenue Input'!$G22))</f>
        <v/>
      </c>
      <c r="G26" s="64" t="str">
        <f>IF('Revenue Input'!$G22="","",IF('Cash Flow %s Yr4'!G26="","",'Cash Flow %s Yr4'!G26*'Revenue Input'!$G22))</f>
        <v/>
      </c>
      <c r="H26" s="64" t="str">
        <f>IF('Revenue Input'!$G22="","",IF('Cash Flow %s Yr4'!H26="","",'Cash Flow %s Yr4'!H26*'Revenue Input'!$G22))</f>
        <v/>
      </c>
      <c r="I26" s="64" t="str">
        <f>IF('Revenue Input'!$G22="","",IF('Cash Flow %s Yr4'!I26="","",'Cash Flow %s Yr4'!I26*'Revenue Input'!$G22))</f>
        <v/>
      </c>
      <c r="J26" s="64" t="str">
        <f>IF('Revenue Input'!$G22="","",IF('Cash Flow %s Yr4'!J26="","",'Cash Flow %s Yr4'!J26*'Revenue Input'!$G22))</f>
        <v/>
      </c>
      <c r="K26" s="64" t="str">
        <f>IF('Revenue Input'!$G22="","",IF('Cash Flow %s Yr4'!K26="","",'Cash Flow %s Yr4'!K26*'Revenue Input'!$G22))</f>
        <v/>
      </c>
      <c r="L26" s="64" t="str">
        <f>IF('Revenue Input'!$G22="","",IF('Cash Flow %s Yr4'!L26="","",'Cash Flow %s Yr4'!L26*'Revenue Input'!$G22))</f>
        <v/>
      </c>
      <c r="M26" s="64" t="str">
        <f>IF('Revenue Input'!$G22="","",IF('Cash Flow %s Yr4'!M26="","",'Cash Flow %s Yr4'!M26*'Revenue Input'!$G22))</f>
        <v/>
      </c>
      <c r="N26" s="64" t="str">
        <f>IF('Revenue Input'!$G22="","",IF('Cash Flow %s Yr4'!N26="","",'Cash Flow %s Yr4'!N26*'Revenue Input'!$G22))</f>
        <v/>
      </c>
      <c r="O26" s="64" t="str">
        <f>IF('Revenue Input'!$G22="","",IF('Cash Flow %s Yr4'!O26="","",'Cash Flow %s Yr4'!O26*'Revenue Input'!$G22))</f>
        <v/>
      </c>
      <c r="P26" s="64" t="str">
        <f>IF('Revenue Input'!$G22="","",IF('Cash Flow %s Yr4'!P26="","",'Cash Flow %s Yr4'!P26*'Revenue Input'!$G22))</f>
        <v/>
      </c>
      <c r="Q26" s="64" t="str">
        <f>IF('Revenue Input'!$G22="","",IF('Cash Flow %s Yr4'!Q26="","",'Cash Flow %s Yr4'!Q26*'Revenue Input'!$G22))</f>
        <v/>
      </c>
      <c r="R26" s="64" t="str">
        <f>IF('Revenue Input'!$G22="","",IF('Cash Flow %s Yr4'!R26="","",'Cash Flow %s Yr4'!R26*'Revenue Input'!$G22))</f>
        <v/>
      </c>
      <c r="S26" s="111" t="str">
        <f>IF(SUM(D26:R26)&gt;0,SUM(D26:R26)/'Revenue Input'!$G22,"")</f>
        <v/>
      </c>
    </row>
    <row r="27" spans="1:19" s="31" customFormat="1" ht="18" x14ac:dyDescent="0.2">
      <c r="A27" s="47"/>
      <c r="B27" s="65" t="str">
        <f>'Revenue Input'!B23</f>
        <v>8290</v>
      </c>
      <c r="C27" s="65" t="str">
        <f>'Revenue Input'!C23</f>
        <v>All Other Federal Revenue, inc Facilities Incentive Grants program</v>
      </c>
      <c r="D27" s="64" t="str">
        <f>IF('Revenue Input'!$G23="","",IF('Cash Flow %s Yr4'!D27="","",'Cash Flow %s Yr4'!D27*'Revenue Input'!$G23))</f>
        <v/>
      </c>
      <c r="E27" s="64" t="str">
        <f>IF('Revenue Input'!$G23="","",IF('Cash Flow %s Yr4'!E27="","",'Cash Flow %s Yr4'!E27*'Revenue Input'!$G23))</f>
        <v/>
      </c>
      <c r="F27" s="64" t="str">
        <f>IF('Revenue Input'!$G23="","",IF('Cash Flow %s Yr4'!F27="","",'Cash Flow %s Yr4'!F27*'Revenue Input'!$G23))</f>
        <v/>
      </c>
      <c r="G27" s="64" t="str">
        <f>IF('Revenue Input'!$G23="","",IF('Cash Flow %s Yr4'!G27="","",'Cash Flow %s Yr4'!G27*'Revenue Input'!$G23))</f>
        <v/>
      </c>
      <c r="H27" s="64" t="str">
        <f>IF('Revenue Input'!$G23="","",IF('Cash Flow %s Yr4'!H27="","",'Cash Flow %s Yr4'!H27*'Revenue Input'!$G23))</f>
        <v/>
      </c>
      <c r="I27" s="64" t="str">
        <f>IF('Revenue Input'!$G23="","",IF('Cash Flow %s Yr4'!I27="","",'Cash Flow %s Yr4'!I27*'Revenue Input'!$G23))</f>
        <v/>
      </c>
      <c r="J27" s="64" t="str">
        <f>IF('Revenue Input'!$G23="","",IF('Cash Flow %s Yr4'!J27="","",'Cash Flow %s Yr4'!J27*'Revenue Input'!$G23))</f>
        <v/>
      </c>
      <c r="K27" s="64" t="str">
        <f>IF('Revenue Input'!$G23="","",IF('Cash Flow %s Yr4'!K27="","",'Cash Flow %s Yr4'!K27*'Revenue Input'!$G23))</f>
        <v/>
      </c>
      <c r="L27" s="64" t="str">
        <f>IF('Revenue Input'!$G23="","",IF('Cash Flow %s Yr4'!L27="","",'Cash Flow %s Yr4'!L27*'Revenue Input'!$G23))</f>
        <v/>
      </c>
      <c r="M27" s="64" t="str">
        <f>IF('Revenue Input'!$G23="","",IF('Cash Flow %s Yr4'!M27="","",'Cash Flow %s Yr4'!M27*'Revenue Input'!$G23))</f>
        <v/>
      </c>
      <c r="N27" s="64" t="str">
        <f>IF('Revenue Input'!$G23="","",IF('Cash Flow %s Yr4'!N27="","",'Cash Flow %s Yr4'!N27*'Revenue Input'!$G23))</f>
        <v/>
      </c>
      <c r="O27" s="64" t="str">
        <f>IF('Revenue Input'!$G23="","",IF('Cash Flow %s Yr4'!O27="","",'Cash Flow %s Yr4'!O27*'Revenue Input'!$G23))</f>
        <v/>
      </c>
      <c r="P27" s="64" t="str">
        <f>IF('Revenue Input'!$G23="","",IF('Cash Flow %s Yr4'!P27="","",'Cash Flow %s Yr4'!P27*'Revenue Input'!$G23))</f>
        <v/>
      </c>
      <c r="Q27" s="64" t="str">
        <f>IF('Revenue Input'!$G23="","",IF('Cash Flow %s Yr4'!Q27="","",'Cash Flow %s Yr4'!Q27*'Revenue Input'!$G23))</f>
        <v/>
      </c>
      <c r="R27" s="64" t="str">
        <f>IF('Revenue Input'!$G23="","",IF('Cash Flow %s Yr4'!R27="","",'Cash Flow %s Yr4'!R27*'Revenue Input'!$G23))</f>
        <v/>
      </c>
      <c r="S27" s="111" t="str">
        <f>IF(SUM(D27:R27)&gt;0,SUM(D27:R27)/'Revenue Input'!$G23,"")</f>
        <v/>
      </c>
    </row>
    <row r="28" spans="1:19" s="31" customFormat="1" ht="18" x14ac:dyDescent="0.2">
      <c r="A28" s="47"/>
      <c r="B28" s="65" t="str">
        <f>'Revenue Input'!B24</f>
        <v>8291</v>
      </c>
      <c r="C28" s="65" t="str">
        <f>'Revenue Input'!C24</f>
        <v>Title I</v>
      </c>
      <c r="D28" s="64" t="str">
        <f>IF('Revenue Input'!$G24="","",IF('Cash Flow %s Yr4'!D28="","",'Cash Flow %s Yr4'!D28*'Revenue Input'!$G24))</f>
        <v/>
      </c>
      <c r="E28" s="64" t="str">
        <f>IF('Revenue Input'!$G24="","",IF('Cash Flow %s Yr4'!E28="","",'Cash Flow %s Yr4'!E28*'Revenue Input'!$G24))</f>
        <v/>
      </c>
      <c r="F28" s="64" t="str">
        <f>IF('Revenue Input'!$G24="","",IF('Cash Flow %s Yr4'!F28="","",'Cash Flow %s Yr4'!F28*'Revenue Input'!$G24))</f>
        <v/>
      </c>
      <c r="G28" s="64" t="str">
        <f>IF('Revenue Input'!$G24="","",IF('Cash Flow %s Yr4'!G28="","",'Cash Flow %s Yr4'!G28*'Revenue Input'!$G24))</f>
        <v/>
      </c>
      <c r="H28" s="64" t="str">
        <f>IF('Revenue Input'!$G24="","",IF('Cash Flow %s Yr4'!H28="","",'Cash Flow %s Yr4'!H28*'Revenue Input'!$G24))</f>
        <v/>
      </c>
      <c r="I28" s="64" t="str">
        <f>IF('Revenue Input'!$G24="","",IF('Cash Flow %s Yr4'!I28="","",'Cash Flow %s Yr4'!I28*'Revenue Input'!$G24))</f>
        <v/>
      </c>
      <c r="J28" s="64" t="str">
        <f>IF('Revenue Input'!$G24="","",IF('Cash Flow %s Yr4'!J28="","",'Cash Flow %s Yr4'!J28*'Revenue Input'!$G24))</f>
        <v/>
      </c>
      <c r="K28" s="64" t="str">
        <f>IF('Revenue Input'!$G24="","",IF('Cash Flow %s Yr4'!K28="","",'Cash Flow %s Yr4'!K28*'Revenue Input'!$G24))</f>
        <v/>
      </c>
      <c r="L28" s="64" t="str">
        <f>IF('Revenue Input'!$G24="","",IF('Cash Flow %s Yr4'!L28="","",'Cash Flow %s Yr4'!L28*'Revenue Input'!$G24))</f>
        <v/>
      </c>
      <c r="M28" s="64" t="str">
        <f>IF('Revenue Input'!$G24="","",IF('Cash Flow %s Yr4'!M28="","",'Cash Flow %s Yr4'!M28*'Revenue Input'!$G24))</f>
        <v/>
      </c>
      <c r="N28" s="64" t="str">
        <f>IF('Revenue Input'!$G24="","",IF('Cash Flow %s Yr4'!N28="","",'Cash Flow %s Yr4'!N28*'Revenue Input'!$G24))</f>
        <v/>
      </c>
      <c r="O28" s="64" t="str">
        <f>IF('Revenue Input'!$G24="","",IF('Cash Flow %s Yr4'!O28="","",'Cash Flow %s Yr4'!O28*'Revenue Input'!$G24))</f>
        <v/>
      </c>
      <c r="P28" s="64" t="str">
        <f>IF('Revenue Input'!$G24="","",IF('Cash Flow %s Yr4'!P28="","",'Cash Flow %s Yr4'!P28*'Revenue Input'!$G24))</f>
        <v/>
      </c>
      <c r="Q28" s="64" t="str">
        <f>IF('Revenue Input'!$G24="","",IF('Cash Flow %s Yr4'!Q28="","",'Cash Flow %s Yr4'!Q28*'Revenue Input'!$G24))</f>
        <v/>
      </c>
      <c r="R28" s="64" t="str">
        <f>IF('Revenue Input'!$G24="","",IF('Cash Flow %s Yr4'!R28="","",'Cash Flow %s Yr4'!R28*'Revenue Input'!$G24))</f>
        <v/>
      </c>
      <c r="S28" s="111" t="str">
        <f>IF(SUM(D28:R28)&gt;0,SUM(D28:R28)/'Revenue Input'!$G24,"")</f>
        <v/>
      </c>
    </row>
    <row r="29" spans="1:19" s="31" customFormat="1" ht="18" x14ac:dyDescent="0.2">
      <c r="A29" s="47"/>
      <c r="B29" s="65" t="str">
        <f>'Revenue Input'!B25</f>
        <v>8292</v>
      </c>
      <c r="C29" s="65" t="str">
        <f>'Revenue Input'!C25</f>
        <v>Title II</v>
      </c>
      <c r="D29" s="64" t="str">
        <f>IF('Revenue Input'!$G25="","",IF('Cash Flow %s Yr4'!D29="","",'Cash Flow %s Yr4'!D29*'Revenue Input'!$G25))</f>
        <v/>
      </c>
      <c r="E29" s="64" t="str">
        <f>IF('Revenue Input'!$G25="","",IF('Cash Flow %s Yr4'!E29="","",'Cash Flow %s Yr4'!E29*'Revenue Input'!$G25))</f>
        <v/>
      </c>
      <c r="F29" s="64" t="str">
        <f>IF('Revenue Input'!$G25="","",IF('Cash Flow %s Yr4'!F29="","",'Cash Flow %s Yr4'!F29*'Revenue Input'!$G25))</f>
        <v/>
      </c>
      <c r="G29" s="64" t="str">
        <f>IF('Revenue Input'!$G25="","",IF('Cash Flow %s Yr4'!G29="","",'Cash Flow %s Yr4'!G29*'Revenue Input'!$G25))</f>
        <v/>
      </c>
      <c r="H29" s="64" t="str">
        <f>IF('Revenue Input'!$G25="","",IF('Cash Flow %s Yr4'!H29="","",'Cash Flow %s Yr4'!H29*'Revenue Input'!$G25))</f>
        <v/>
      </c>
      <c r="I29" s="64" t="str">
        <f>IF('Revenue Input'!$G25="","",IF('Cash Flow %s Yr4'!I29="","",'Cash Flow %s Yr4'!I29*'Revenue Input'!$G25))</f>
        <v/>
      </c>
      <c r="J29" s="64" t="str">
        <f>IF('Revenue Input'!$G25="","",IF('Cash Flow %s Yr4'!J29="","",'Cash Flow %s Yr4'!J29*'Revenue Input'!$G25))</f>
        <v/>
      </c>
      <c r="K29" s="64" t="str">
        <f>IF('Revenue Input'!$G25="","",IF('Cash Flow %s Yr4'!K29="","",'Cash Flow %s Yr4'!K29*'Revenue Input'!$G25))</f>
        <v/>
      </c>
      <c r="L29" s="64" t="str">
        <f>IF('Revenue Input'!$G25="","",IF('Cash Flow %s Yr4'!L29="","",'Cash Flow %s Yr4'!L29*'Revenue Input'!$G25))</f>
        <v/>
      </c>
      <c r="M29" s="64" t="str">
        <f>IF('Revenue Input'!$G25="","",IF('Cash Flow %s Yr4'!M29="","",'Cash Flow %s Yr4'!M29*'Revenue Input'!$G25))</f>
        <v/>
      </c>
      <c r="N29" s="64" t="str">
        <f>IF('Revenue Input'!$G25="","",IF('Cash Flow %s Yr4'!N29="","",'Cash Flow %s Yr4'!N29*'Revenue Input'!$G25))</f>
        <v/>
      </c>
      <c r="O29" s="64" t="str">
        <f>IF('Revenue Input'!$G25="","",IF('Cash Flow %s Yr4'!O29="","",'Cash Flow %s Yr4'!O29*'Revenue Input'!$G25))</f>
        <v/>
      </c>
      <c r="P29" s="64" t="str">
        <f>IF('Revenue Input'!$G25="","",IF('Cash Flow %s Yr4'!P29="","",'Cash Flow %s Yr4'!P29*'Revenue Input'!$G25))</f>
        <v/>
      </c>
      <c r="Q29" s="64" t="str">
        <f>IF('Revenue Input'!$G25="","",IF('Cash Flow %s Yr4'!Q29="","",'Cash Flow %s Yr4'!Q29*'Revenue Input'!$G25))</f>
        <v/>
      </c>
      <c r="R29" s="64" t="str">
        <f>IF('Revenue Input'!$G25="","",IF('Cash Flow %s Yr4'!R29="","",'Cash Flow %s Yr4'!R29*'Revenue Input'!$G25))</f>
        <v/>
      </c>
      <c r="S29" s="111" t="str">
        <f>IF(SUM(D29:R29)&gt;0,SUM(D29:R29)/'Revenue Input'!$G25,"")</f>
        <v/>
      </c>
    </row>
    <row r="30" spans="1:19" s="31" customFormat="1" ht="18" x14ac:dyDescent="0.2">
      <c r="A30" s="47"/>
      <c r="B30" s="65" t="str">
        <f>'Revenue Input'!B26</f>
        <v>8293</v>
      </c>
      <c r="C30" s="65" t="str">
        <f>'Revenue Input'!C26</f>
        <v>Title III</v>
      </c>
      <c r="D30" s="64" t="str">
        <f>IF('Revenue Input'!$G26="","",IF('Cash Flow %s Yr4'!D30="","",'Cash Flow %s Yr4'!D30*'Revenue Input'!$G26))</f>
        <v/>
      </c>
      <c r="E30" s="64" t="str">
        <f>IF('Revenue Input'!$G26="","",IF('Cash Flow %s Yr4'!E30="","",'Cash Flow %s Yr4'!E30*'Revenue Input'!$G26))</f>
        <v/>
      </c>
      <c r="F30" s="64" t="str">
        <f>IF('Revenue Input'!$G26="","",IF('Cash Flow %s Yr4'!F30="","",'Cash Flow %s Yr4'!F30*'Revenue Input'!$G26))</f>
        <v/>
      </c>
      <c r="G30" s="64" t="str">
        <f>IF('Revenue Input'!$G26="","",IF('Cash Flow %s Yr4'!G30="","",'Cash Flow %s Yr4'!G30*'Revenue Input'!$G26))</f>
        <v/>
      </c>
      <c r="H30" s="64" t="str">
        <f>IF('Revenue Input'!$G26="","",IF('Cash Flow %s Yr4'!H30="","",'Cash Flow %s Yr4'!H30*'Revenue Input'!$G26))</f>
        <v/>
      </c>
      <c r="I30" s="64" t="str">
        <f>IF('Revenue Input'!$G26="","",IF('Cash Flow %s Yr4'!I30="","",'Cash Flow %s Yr4'!I30*'Revenue Input'!$G26))</f>
        <v/>
      </c>
      <c r="J30" s="64" t="str">
        <f>IF('Revenue Input'!$G26="","",IF('Cash Flow %s Yr4'!J30="","",'Cash Flow %s Yr4'!J30*'Revenue Input'!$G26))</f>
        <v/>
      </c>
      <c r="K30" s="64" t="str">
        <f>IF('Revenue Input'!$G26="","",IF('Cash Flow %s Yr4'!K30="","",'Cash Flow %s Yr4'!K30*'Revenue Input'!$G26))</f>
        <v/>
      </c>
      <c r="L30" s="64" t="str">
        <f>IF('Revenue Input'!$G26="","",IF('Cash Flow %s Yr4'!L30="","",'Cash Flow %s Yr4'!L30*'Revenue Input'!$G26))</f>
        <v/>
      </c>
      <c r="M30" s="64" t="str">
        <f>IF('Revenue Input'!$G26="","",IF('Cash Flow %s Yr4'!M30="","",'Cash Flow %s Yr4'!M30*'Revenue Input'!$G26))</f>
        <v/>
      </c>
      <c r="N30" s="64" t="str">
        <f>IF('Revenue Input'!$G26="","",IF('Cash Flow %s Yr4'!N30="","",'Cash Flow %s Yr4'!N30*'Revenue Input'!$G26))</f>
        <v/>
      </c>
      <c r="O30" s="64" t="str">
        <f>IF('Revenue Input'!$G26="","",IF('Cash Flow %s Yr4'!O30="","",'Cash Flow %s Yr4'!O30*'Revenue Input'!$G26))</f>
        <v/>
      </c>
      <c r="P30" s="64" t="str">
        <f>IF('Revenue Input'!$G26="","",IF('Cash Flow %s Yr4'!P30="","",'Cash Flow %s Yr4'!P30*'Revenue Input'!$G26))</f>
        <v/>
      </c>
      <c r="Q30" s="64" t="str">
        <f>IF('Revenue Input'!$G26="","",IF('Cash Flow %s Yr4'!Q30="","",'Cash Flow %s Yr4'!Q30*'Revenue Input'!$G26))</f>
        <v/>
      </c>
      <c r="R30" s="64" t="str">
        <f>IF('Revenue Input'!$G26="","",IF('Cash Flow %s Yr4'!R30="","",'Cash Flow %s Yr4'!R30*'Revenue Input'!$G26))</f>
        <v/>
      </c>
      <c r="S30" s="111" t="str">
        <f>IF(SUM(D30:R30)&gt;0,SUM(D30:R30)/'Revenue Input'!$G26,"")</f>
        <v/>
      </c>
    </row>
    <row r="31" spans="1:19" s="31" customFormat="1" ht="18" x14ac:dyDescent="0.2">
      <c r="A31" s="47"/>
      <c r="B31" s="65" t="str">
        <f>'Revenue Input'!B27</f>
        <v>8294</v>
      </c>
      <c r="C31" s="65" t="str">
        <f>'Revenue Input'!C27</f>
        <v>Title IV</v>
      </c>
      <c r="D31" s="64" t="str">
        <f>IF('Revenue Input'!$G27="","",IF('Cash Flow %s Yr4'!D31="","",'Cash Flow %s Yr4'!D31*'Revenue Input'!$G27))</f>
        <v/>
      </c>
      <c r="E31" s="64" t="str">
        <f>IF('Revenue Input'!$G27="","",IF('Cash Flow %s Yr4'!E31="","",'Cash Flow %s Yr4'!E31*'Revenue Input'!$G27))</f>
        <v/>
      </c>
      <c r="F31" s="64" t="str">
        <f>IF('Revenue Input'!$G27="","",IF('Cash Flow %s Yr4'!F31="","",'Cash Flow %s Yr4'!F31*'Revenue Input'!$G27))</f>
        <v/>
      </c>
      <c r="G31" s="64" t="str">
        <f>IF('Revenue Input'!$G27="","",IF('Cash Flow %s Yr4'!G31="","",'Cash Flow %s Yr4'!G31*'Revenue Input'!$G27))</f>
        <v/>
      </c>
      <c r="H31" s="64" t="str">
        <f>IF('Revenue Input'!$G27="","",IF('Cash Flow %s Yr4'!H31="","",'Cash Flow %s Yr4'!H31*'Revenue Input'!$G27))</f>
        <v/>
      </c>
      <c r="I31" s="64" t="str">
        <f>IF('Revenue Input'!$G27="","",IF('Cash Flow %s Yr4'!I31="","",'Cash Flow %s Yr4'!I31*'Revenue Input'!$G27))</f>
        <v/>
      </c>
      <c r="J31" s="64" t="str">
        <f>IF('Revenue Input'!$G27="","",IF('Cash Flow %s Yr4'!J31="","",'Cash Flow %s Yr4'!J31*'Revenue Input'!$G27))</f>
        <v/>
      </c>
      <c r="K31" s="64" t="str">
        <f>IF('Revenue Input'!$G27="","",IF('Cash Flow %s Yr4'!K31="","",'Cash Flow %s Yr4'!K31*'Revenue Input'!$G27))</f>
        <v/>
      </c>
      <c r="L31" s="64" t="str">
        <f>IF('Revenue Input'!$G27="","",IF('Cash Flow %s Yr4'!L31="","",'Cash Flow %s Yr4'!L31*'Revenue Input'!$G27))</f>
        <v/>
      </c>
      <c r="M31" s="64" t="str">
        <f>IF('Revenue Input'!$G27="","",IF('Cash Flow %s Yr4'!M31="","",'Cash Flow %s Yr4'!M31*'Revenue Input'!$G27))</f>
        <v/>
      </c>
      <c r="N31" s="64" t="str">
        <f>IF('Revenue Input'!$G27="","",IF('Cash Flow %s Yr4'!N31="","",'Cash Flow %s Yr4'!N31*'Revenue Input'!$G27))</f>
        <v/>
      </c>
      <c r="O31" s="64" t="str">
        <f>IF('Revenue Input'!$G27="","",IF('Cash Flow %s Yr4'!O31="","",'Cash Flow %s Yr4'!O31*'Revenue Input'!$G27))</f>
        <v/>
      </c>
      <c r="P31" s="64" t="str">
        <f>IF('Revenue Input'!$G27="","",IF('Cash Flow %s Yr4'!P31="","",'Cash Flow %s Yr4'!P31*'Revenue Input'!$G27))</f>
        <v/>
      </c>
      <c r="Q31" s="64" t="str">
        <f>IF('Revenue Input'!$G27="","",IF('Cash Flow %s Yr4'!Q31="","",'Cash Flow %s Yr4'!Q31*'Revenue Input'!$G27))</f>
        <v/>
      </c>
      <c r="R31" s="64" t="str">
        <f>IF('Revenue Input'!$G27="","",IF('Cash Flow %s Yr4'!R31="","",'Cash Flow %s Yr4'!R31*'Revenue Input'!$G27))</f>
        <v/>
      </c>
      <c r="S31" s="111" t="str">
        <f>IF(SUM(D31:R31)&gt;0,SUM(D31:R31)/'Revenue Input'!$G27,"")</f>
        <v/>
      </c>
    </row>
    <row r="32" spans="1:19" s="31" customFormat="1" ht="18" x14ac:dyDescent="0.2">
      <c r="A32" s="47"/>
      <c r="B32" s="65" t="str">
        <f>'Revenue Input'!B28</f>
        <v>8295</v>
      </c>
      <c r="C32" s="65" t="str">
        <f>'Revenue Input'!C28</f>
        <v>Title V</v>
      </c>
      <c r="D32" s="64" t="str">
        <f>IF('Revenue Input'!$G28="","",IF('Cash Flow %s Yr4'!D32="","",'Cash Flow %s Yr4'!D32*'Revenue Input'!$G28))</f>
        <v/>
      </c>
      <c r="E32" s="64" t="str">
        <f>IF('Revenue Input'!$G28="","",IF('Cash Flow %s Yr4'!E32="","",'Cash Flow %s Yr4'!E32*'Revenue Input'!$G28))</f>
        <v/>
      </c>
      <c r="F32" s="64" t="str">
        <f>IF('Revenue Input'!$G28="","",IF('Cash Flow %s Yr4'!F32="","",'Cash Flow %s Yr4'!F32*'Revenue Input'!$G28))</f>
        <v/>
      </c>
      <c r="G32" s="64" t="str">
        <f>IF('Revenue Input'!$G28="","",IF('Cash Flow %s Yr4'!G32="","",'Cash Flow %s Yr4'!G32*'Revenue Input'!$G28))</f>
        <v/>
      </c>
      <c r="H32" s="64" t="str">
        <f>IF('Revenue Input'!$G28="","",IF('Cash Flow %s Yr4'!H32="","",'Cash Flow %s Yr4'!H32*'Revenue Input'!$G28))</f>
        <v/>
      </c>
      <c r="I32" s="64" t="str">
        <f>IF('Revenue Input'!$G28="","",IF('Cash Flow %s Yr4'!I32="","",'Cash Flow %s Yr4'!I32*'Revenue Input'!$G28))</f>
        <v/>
      </c>
      <c r="J32" s="64" t="str">
        <f>IF('Revenue Input'!$G28="","",IF('Cash Flow %s Yr4'!J32="","",'Cash Flow %s Yr4'!J32*'Revenue Input'!$G28))</f>
        <v/>
      </c>
      <c r="K32" s="64" t="str">
        <f>IF('Revenue Input'!$G28="","",IF('Cash Flow %s Yr4'!K32="","",'Cash Flow %s Yr4'!K32*'Revenue Input'!$G28))</f>
        <v/>
      </c>
      <c r="L32" s="64" t="str">
        <f>IF('Revenue Input'!$G28="","",IF('Cash Flow %s Yr4'!L32="","",'Cash Flow %s Yr4'!L32*'Revenue Input'!$G28))</f>
        <v/>
      </c>
      <c r="M32" s="64" t="str">
        <f>IF('Revenue Input'!$G28="","",IF('Cash Flow %s Yr4'!M32="","",'Cash Flow %s Yr4'!M32*'Revenue Input'!$G28))</f>
        <v/>
      </c>
      <c r="N32" s="64" t="str">
        <f>IF('Revenue Input'!$G28="","",IF('Cash Flow %s Yr4'!N32="","",'Cash Flow %s Yr4'!N32*'Revenue Input'!$G28))</f>
        <v/>
      </c>
      <c r="O32" s="64" t="str">
        <f>IF('Revenue Input'!$G28="","",IF('Cash Flow %s Yr4'!O32="","",'Cash Flow %s Yr4'!O32*'Revenue Input'!$G28))</f>
        <v/>
      </c>
      <c r="P32" s="64" t="str">
        <f>IF('Revenue Input'!$G28="","",IF('Cash Flow %s Yr4'!P32="","",'Cash Flow %s Yr4'!P32*'Revenue Input'!$G28))</f>
        <v/>
      </c>
      <c r="Q32" s="64" t="str">
        <f>IF('Revenue Input'!$G28="","",IF('Cash Flow %s Yr4'!Q32="","",'Cash Flow %s Yr4'!Q32*'Revenue Input'!$G28))</f>
        <v/>
      </c>
      <c r="R32" s="64" t="str">
        <f>IF('Revenue Input'!$G28="","",IF('Cash Flow %s Yr4'!R32="","",'Cash Flow %s Yr4'!R32*'Revenue Input'!$G28))</f>
        <v/>
      </c>
      <c r="S32" s="111" t="str">
        <f>IF(SUM(D32:R32)&gt;0,SUM(D32:R32)/'Revenue Input'!$G28,"")</f>
        <v/>
      </c>
    </row>
    <row r="33" spans="1:19" s="31" customFormat="1" ht="18" x14ac:dyDescent="0.2">
      <c r="A33" s="47"/>
      <c r="B33" s="65" t="str">
        <f>'Revenue Input'!B29</f>
        <v>8299</v>
      </c>
      <c r="C33" s="65" t="str">
        <f>'Revenue Input'!C29</f>
        <v>Prior Year Federal Revenue</v>
      </c>
      <c r="D33" s="64" t="str">
        <f>IF('Revenue Input'!$G29="","",IF('Cash Flow %s Yr4'!D33="","",'Cash Flow %s Yr4'!D33*'Revenue Input'!$G29))</f>
        <v/>
      </c>
      <c r="E33" s="64" t="str">
        <f>IF('Revenue Input'!$G29="","",IF('Cash Flow %s Yr4'!E33="","",'Cash Flow %s Yr4'!E33*'Revenue Input'!$G29))</f>
        <v/>
      </c>
      <c r="F33" s="64" t="str">
        <f>IF('Revenue Input'!$G29="","",IF('Cash Flow %s Yr4'!F33="","",'Cash Flow %s Yr4'!F33*'Revenue Input'!$G29))</f>
        <v/>
      </c>
      <c r="G33" s="64" t="str">
        <f>IF('Revenue Input'!$G29="","",IF('Cash Flow %s Yr4'!G33="","",'Cash Flow %s Yr4'!G33*'Revenue Input'!$G29))</f>
        <v/>
      </c>
      <c r="H33" s="64" t="str">
        <f>IF('Revenue Input'!$G29="","",IF('Cash Flow %s Yr4'!H33="","",'Cash Flow %s Yr4'!H33*'Revenue Input'!$G29))</f>
        <v/>
      </c>
      <c r="I33" s="64" t="str">
        <f>IF('Revenue Input'!$G29="","",IF('Cash Flow %s Yr4'!I33="","",'Cash Flow %s Yr4'!I33*'Revenue Input'!$G29))</f>
        <v/>
      </c>
      <c r="J33" s="64" t="str">
        <f>IF('Revenue Input'!$G29="","",IF('Cash Flow %s Yr4'!J33="","",'Cash Flow %s Yr4'!J33*'Revenue Input'!$G29))</f>
        <v/>
      </c>
      <c r="K33" s="64" t="str">
        <f>IF('Revenue Input'!$G29="","",IF('Cash Flow %s Yr4'!K33="","",'Cash Flow %s Yr4'!K33*'Revenue Input'!$G29))</f>
        <v/>
      </c>
      <c r="L33" s="64" t="str">
        <f>IF('Revenue Input'!$G29="","",IF('Cash Flow %s Yr4'!L33="","",'Cash Flow %s Yr4'!L33*'Revenue Input'!$G29))</f>
        <v/>
      </c>
      <c r="M33" s="64" t="str">
        <f>IF('Revenue Input'!$G29="","",IF('Cash Flow %s Yr4'!M33="","",'Cash Flow %s Yr4'!M33*'Revenue Input'!$G29))</f>
        <v/>
      </c>
      <c r="N33" s="64" t="str">
        <f>IF('Revenue Input'!$G29="","",IF('Cash Flow %s Yr4'!N33="","",'Cash Flow %s Yr4'!N33*'Revenue Input'!$G29))</f>
        <v/>
      </c>
      <c r="O33" s="64" t="str">
        <f>IF('Revenue Input'!$G29="","",IF('Cash Flow %s Yr4'!O33="","",'Cash Flow %s Yr4'!O33*'Revenue Input'!$G29))</f>
        <v/>
      </c>
      <c r="P33" s="64" t="str">
        <f>IF('Revenue Input'!$G29="","",IF('Cash Flow %s Yr4'!P33="","",'Cash Flow %s Yr4'!P33*'Revenue Input'!$G29))</f>
        <v/>
      </c>
      <c r="Q33" s="64" t="str">
        <f>IF('Revenue Input'!$G29="","",IF('Cash Flow %s Yr4'!Q33="","",'Cash Flow %s Yr4'!Q33*'Revenue Input'!$G29))</f>
        <v/>
      </c>
      <c r="R33" s="64" t="str">
        <f>IF('Revenue Input'!$G29="","",IF('Cash Flow %s Yr4'!R33="","",'Cash Flow %s Yr4'!R33*'Revenue Input'!$G29))</f>
        <v/>
      </c>
      <c r="S33" s="111" t="str">
        <f>IF(SUM(D33:R33)&gt;0,SUM(D33:R33)/'Revenue Input'!$G29,"")</f>
        <v/>
      </c>
    </row>
    <row r="34" spans="1:19" s="31" customFormat="1" ht="18" x14ac:dyDescent="0.2">
      <c r="A34" s="47"/>
      <c r="B34" s="73"/>
      <c r="C34" s="34" t="s">
        <v>721</v>
      </c>
      <c r="D34" s="172">
        <f>SUM(D26:D33)</f>
        <v>0</v>
      </c>
      <c r="E34" s="172">
        <f t="shared" ref="E34:R34" si="1">SUM(E26:E33)</f>
        <v>0</v>
      </c>
      <c r="F34" s="172">
        <f t="shared" si="1"/>
        <v>0</v>
      </c>
      <c r="G34" s="172">
        <f t="shared" si="1"/>
        <v>0</v>
      </c>
      <c r="H34" s="172">
        <f t="shared" si="1"/>
        <v>0</v>
      </c>
      <c r="I34" s="172">
        <f t="shared" si="1"/>
        <v>0</v>
      </c>
      <c r="J34" s="172">
        <f t="shared" si="1"/>
        <v>0</v>
      </c>
      <c r="K34" s="172">
        <f t="shared" si="1"/>
        <v>0</v>
      </c>
      <c r="L34" s="172">
        <f t="shared" si="1"/>
        <v>0</v>
      </c>
      <c r="M34" s="172">
        <f t="shared" si="1"/>
        <v>0</v>
      </c>
      <c r="N34" s="172">
        <f t="shared" si="1"/>
        <v>0</v>
      </c>
      <c r="O34" s="172">
        <f t="shared" si="1"/>
        <v>0</v>
      </c>
      <c r="P34" s="172">
        <f t="shared" si="1"/>
        <v>0</v>
      </c>
      <c r="Q34" s="172">
        <f t="shared" si="1"/>
        <v>0</v>
      </c>
      <c r="R34" s="172">
        <f t="shared" si="1"/>
        <v>0</v>
      </c>
      <c r="S34" s="107"/>
    </row>
    <row r="35" spans="1:19" s="31" customFormat="1" ht="18" x14ac:dyDescent="0.2">
      <c r="A35" s="47"/>
      <c r="B35" s="72"/>
      <c r="C35" s="50"/>
      <c r="D35" s="126"/>
      <c r="E35" s="126"/>
      <c r="F35" s="126"/>
      <c r="G35" s="126"/>
      <c r="H35" s="126"/>
      <c r="I35" s="126"/>
      <c r="J35" s="126"/>
      <c r="K35" s="126"/>
      <c r="L35" s="126"/>
      <c r="M35" s="126"/>
      <c r="N35" s="126"/>
      <c r="O35" s="126"/>
      <c r="P35" s="126"/>
      <c r="Q35" s="126"/>
      <c r="R35" s="126"/>
    </row>
    <row r="36" spans="1:19" s="31" customFormat="1" ht="18" x14ac:dyDescent="0.2">
      <c r="B36" s="47" t="s">
        <v>795</v>
      </c>
      <c r="C36" s="50"/>
      <c r="D36" s="126"/>
      <c r="E36" s="126"/>
      <c r="F36" s="126"/>
      <c r="G36" s="126"/>
      <c r="H36" s="126"/>
      <c r="I36" s="126"/>
      <c r="J36" s="126"/>
      <c r="K36" s="126"/>
      <c r="L36" s="126"/>
      <c r="M36" s="126"/>
      <c r="N36" s="126"/>
      <c r="O36" s="126"/>
      <c r="P36" s="126"/>
      <c r="Q36" s="126"/>
      <c r="R36" s="126"/>
    </row>
    <row r="37" spans="1:19" s="31" customFormat="1" ht="18" x14ac:dyDescent="0.2">
      <c r="A37" s="47"/>
      <c r="B37" s="65" t="str">
        <f>'Revenue Input'!B33</f>
        <v>8660</v>
      </c>
      <c r="C37" s="65" t="str">
        <f>'Revenue Input'!C33</f>
        <v>Interest</v>
      </c>
      <c r="D37" s="64">
        <f>IF('Revenue Input'!$G33="","",IF('Cash Flow %s Yr4'!D37="","",'Cash Flow %s Yr4'!D37*'Revenue Input'!$G33))</f>
        <v>83</v>
      </c>
      <c r="E37" s="64">
        <f>IF('Revenue Input'!$G33="","",IF('Cash Flow %s Yr4'!E37="","",'Cash Flow %s Yr4'!E37*'Revenue Input'!$G33))</f>
        <v>83</v>
      </c>
      <c r="F37" s="64">
        <f>IF('Revenue Input'!$G33="","",IF('Cash Flow %s Yr4'!F37="","",'Cash Flow %s Yr4'!F37*'Revenue Input'!$G33))</f>
        <v>83</v>
      </c>
      <c r="G37" s="64">
        <f>IF('Revenue Input'!$G33="","",IF('Cash Flow %s Yr4'!G37="","",'Cash Flow %s Yr4'!G37*'Revenue Input'!$G33))</f>
        <v>83</v>
      </c>
      <c r="H37" s="64">
        <f>IF('Revenue Input'!$G33="","",IF('Cash Flow %s Yr4'!H37="","",'Cash Flow %s Yr4'!H37*'Revenue Input'!$G33))</f>
        <v>83</v>
      </c>
      <c r="I37" s="64">
        <f>IF('Revenue Input'!$G33="","",IF('Cash Flow %s Yr4'!I37="","",'Cash Flow %s Yr4'!I37*'Revenue Input'!$G33))</f>
        <v>83</v>
      </c>
      <c r="J37" s="64">
        <f>IF('Revenue Input'!$G33="","",IF('Cash Flow %s Yr4'!J37="","",'Cash Flow %s Yr4'!J37*'Revenue Input'!$G33))</f>
        <v>83</v>
      </c>
      <c r="K37" s="64">
        <f>IF('Revenue Input'!$G33="","",IF('Cash Flow %s Yr4'!K37="","",'Cash Flow %s Yr4'!K37*'Revenue Input'!$G33))</f>
        <v>83</v>
      </c>
      <c r="L37" s="64">
        <f>IF('Revenue Input'!$G33="","",IF('Cash Flow %s Yr4'!L37="","",'Cash Flow %s Yr4'!L37*'Revenue Input'!$G33))</f>
        <v>84</v>
      </c>
      <c r="M37" s="64">
        <f>IF('Revenue Input'!$G33="","",IF('Cash Flow %s Yr4'!M37="","",'Cash Flow %s Yr4'!M37*'Revenue Input'!$G33))</f>
        <v>84</v>
      </c>
      <c r="N37" s="64">
        <f>IF('Revenue Input'!$G33="","",IF('Cash Flow %s Yr4'!N37="","",'Cash Flow %s Yr4'!N37*'Revenue Input'!$G33))</f>
        <v>84</v>
      </c>
      <c r="O37" s="64">
        <f>IF('Revenue Input'!$G33="","",IF('Cash Flow %s Yr4'!O37="","",'Cash Flow %s Yr4'!O37*'Revenue Input'!$G33))</f>
        <v>84</v>
      </c>
      <c r="P37" s="64">
        <f>IF('Revenue Input'!$G33="","",IF('Cash Flow %s Yr4'!P37="","",'Cash Flow %s Yr4'!P37*'Revenue Input'!$G33))</f>
        <v>0</v>
      </c>
      <c r="Q37" s="64">
        <f>IF('Revenue Input'!$G33="","",IF('Cash Flow %s Yr4'!Q37="","",'Cash Flow %s Yr4'!Q37*'Revenue Input'!$G33))</f>
        <v>0</v>
      </c>
      <c r="R37" s="64">
        <f>IF('Revenue Input'!$G33="","",IF('Cash Flow %s Yr4'!R37="","",'Cash Flow %s Yr4'!R37*'Revenue Input'!$G33))</f>
        <v>0</v>
      </c>
      <c r="S37" s="111">
        <f>IF(SUM(D37:R37)&gt;0,SUM(D37:R37)/'Revenue Input'!$G33,"")</f>
        <v>1</v>
      </c>
    </row>
    <row r="38" spans="1:19" s="31" customFormat="1" ht="18" x14ac:dyDescent="0.2">
      <c r="A38" s="47"/>
      <c r="B38" s="65" t="str">
        <f>'Revenue Input'!B34</f>
        <v>8782</v>
      </c>
      <c r="C38" s="65" t="str">
        <f>'Revenue Input'!C34</f>
        <v>All Other Transfers from County Offices</v>
      </c>
      <c r="D38" s="64" t="str">
        <f>IF('Revenue Input'!$G34="","",IF('Cash Flow %s Yr4'!D38="","",'Cash Flow %s Yr4'!D38*'Revenue Input'!$G34))</f>
        <v/>
      </c>
      <c r="E38" s="64" t="str">
        <f>IF('Revenue Input'!$G34="","",IF('Cash Flow %s Yr4'!E38="","",'Cash Flow %s Yr4'!E38*'Revenue Input'!$G34))</f>
        <v/>
      </c>
      <c r="F38" s="64" t="str">
        <f>IF('Revenue Input'!$G34="","",IF('Cash Flow %s Yr4'!F38="","",'Cash Flow %s Yr4'!F38*'Revenue Input'!$G34))</f>
        <v/>
      </c>
      <c r="G38" s="64" t="str">
        <f>IF('Revenue Input'!$G34="","",IF('Cash Flow %s Yr4'!G38="","",'Cash Flow %s Yr4'!G38*'Revenue Input'!$G34))</f>
        <v/>
      </c>
      <c r="H38" s="64" t="str">
        <f>IF('Revenue Input'!$G34="","",IF('Cash Flow %s Yr4'!H38="","",'Cash Flow %s Yr4'!H38*'Revenue Input'!$G34))</f>
        <v/>
      </c>
      <c r="I38" s="64" t="str">
        <f>IF('Revenue Input'!$G34="","",IF('Cash Flow %s Yr4'!I38="","",'Cash Flow %s Yr4'!I38*'Revenue Input'!$G34))</f>
        <v/>
      </c>
      <c r="J38" s="64" t="str">
        <f>IF('Revenue Input'!$G34="","",IF('Cash Flow %s Yr4'!J38="","",'Cash Flow %s Yr4'!J38*'Revenue Input'!$G34))</f>
        <v/>
      </c>
      <c r="K38" s="64" t="str">
        <f>IF('Revenue Input'!$G34="","",IF('Cash Flow %s Yr4'!K38="","",'Cash Flow %s Yr4'!K38*'Revenue Input'!$G34))</f>
        <v/>
      </c>
      <c r="L38" s="64" t="str">
        <f>IF('Revenue Input'!$G34="","",IF('Cash Flow %s Yr4'!L38="","",'Cash Flow %s Yr4'!L38*'Revenue Input'!$G34))</f>
        <v/>
      </c>
      <c r="M38" s="64" t="str">
        <f>IF('Revenue Input'!$G34="","",IF('Cash Flow %s Yr4'!M38="","",'Cash Flow %s Yr4'!M38*'Revenue Input'!$G34))</f>
        <v/>
      </c>
      <c r="N38" s="64" t="str">
        <f>IF('Revenue Input'!$G34="","",IF('Cash Flow %s Yr4'!N38="","",'Cash Flow %s Yr4'!N38*'Revenue Input'!$G34))</f>
        <v/>
      </c>
      <c r="O38" s="64" t="str">
        <f>IF('Revenue Input'!$G34="","",IF('Cash Flow %s Yr4'!O38="","",'Cash Flow %s Yr4'!O38*'Revenue Input'!$G34))</f>
        <v/>
      </c>
      <c r="P38" s="64" t="str">
        <f>IF('Revenue Input'!$G34="","",IF('Cash Flow %s Yr4'!P38="","",'Cash Flow %s Yr4'!P38*'Revenue Input'!$G34))</f>
        <v/>
      </c>
      <c r="Q38" s="64" t="str">
        <f>IF('Revenue Input'!$G34="","",IF('Cash Flow %s Yr4'!Q38="","",'Cash Flow %s Yr4'!Q38*'Revenue Input'!$G34))</f>
        <v/>
      </c>
      <c r="R38" s="64" t="str">
        <f>IF('Revenue Input'!$G34="","",IF('Cash Flow %s Yr4'!R38="","",'Cash Flow %s Yr4'!R38*'Revenue Input'!$G34))</f>
        <v/>
      </c>
      <c r="S38" s="111" t="str">
        <f>IF(SUM(D38:R38)&gt;0,SUM(D38:R38)/'Revenue Input'!$G34,"")</f>
        <v/>
      </c>
    </row>
    <row r="39" spans="1:19" s="31" customFormat="1" ht="18" x14ac:dyDescent="0.2">
      <c r="A39" s="47"/>
      <c r="B39" s="65" t="str">
        <f>'Revenue Input'!B35</f>
        <v>8784</v>
      </c>
      <c r="C39" s="65" t="str">
        <f>'Revenue Input'!C35</f>
        <v>All Other Transfers from Other Locations</v>
      </c>
      <c r="D39" s="64" t="str">
        <f>IF('Revenue Input'!$G35="","",IF('Cash Flow %s Yr4'!D39="","",'Cash Flow %s Yr4'!D39*'Revenue Input'!$G35))</f>
        <v/>
      </c>
      <c r="E39" s="64" t="str">
        <f>IF('Revenue Input'!$G35="","",IF('Cash Flow %s Yr4'!E39="","",'Cash Flow %s Yr4'!E39*'Revenue Input'!$G35))</f>
        <v/>
      </c>
      <c r="F39" s="64" t="str">
        <f>IF('Revenue Input'!$G35="","",IF('Cash Flow %s Yr4'!F39="","",'Cash Flow %s Yr4'!F39*'Revenue Input'!$G35))</f>
        <v/>
      </c>
      <c r="G39" s="64" t="str">
        <f>IF('Revenue Input'!$G35="","",IF('Cash Flow %s Yr4'!G39="","",'Cash Flow %s Yr4'!G39*'Revenue Input'!$G35))</f>
        <v/>
      </c>
      <c r="H39" s="64" t="str">
        <f>IF('Revenue Input'!$G35="","",IF('Cash Flow %s Yr4'!H39="","",'Cash Flow %s Yr4'!H39*'Revenue Input'!$G35))</f>
        <v/>
      </c>
      <c r="I39" s="64" t="str">
        <f>IF('Revenue Input'!$G35="","",IF('Cash Flow %s Yr4'!I39="","",'Cash Flow %s Yr4'!I39*'Revenue Input'!$G35))</f>
        <v/>
      </c>
      <c r="J39" s="64" t="str">
        <f>IF('Revenue Input'!$G35="","",IF('Cash Flow %s Yr4'!J39="","",'Cash Flow %s Yr4'!J39*'Revenue Input'!$G35))</f>
        <v/>
      </c>
      <c r="K39" s="64" t="str">
        <f>IF('Revenue Input'!$G35="","",IF('Cash Flow %s Yr4'!K39="","",'Cash Flow %s Yr4'!K39*'Revenue Input'!$G35))</f>
        <v/>
      </c>
      <c r="L39" s="64" t="str">
        <f>IF('Revenue Input'!$G35="","",IF('Cash Flow %s Yr4'!L39="","",'Cash Flow %s Yr4'!L39*'Revenue Input'!$G35))</f>
        <v/>
      </c>
      <c r="M39" s="64" t="str">
        <f>IF('Revenue Input'!$G35="","",IF('Cash Flow %s Yr4'!M39="","",'Cash Flow %s Yr4'!M39*'Revenue Input'!$G35))</f>
        <v/>
      </c>
      <c r="N39" s="64" t="str">
        <f>IF('Revenue Input'!$G35="","",IF('Cash Flow %s Yr4'!N39="","",'Cash Flow %s Yr4'!N39*'Revenue Input'!$G35))</f>
        <v/>
      </c>
      <c r="O39" s="64" t="str">
        <f>IF('Revenue Input'!$G35="","",IF('Cash Flow %s Yr4'!O39="","",'Cash Flow %s Yr4'!O39*'Revenue Input'!$G35))</f>
        <v/>
      </c>
      <c r="P39" s="64" t="str">
        <f>IF('Revenue Input'!$G35="","",IF('Cash Flow %s Yr4'!P39="","",'Cash Flow %s Yr4'!P39*'Revenue Input'!$G35))</f>
        <v/>
      </c>
      <c r="Q39" s="64" t="str">
        <f>IF('Revenue Input'!$G35="","",IF('Cash Flow %s Yr4'!Q39="","",'Cash Flow %s Yr4'!Q39*'Revenue Input'!$G35))</f>
        <v/>
      </c>
      <c r="R39" s="64" t="str">
        <f>IF('Revenue Input'!$G35="","",IF('Cash Flow %s Yr4'!R39="","",'Cash Flow %s Yr4'!R39*'Revenue Input'!$G35))</f>
        <v/>
      </c>
      <c r="S39" s="111" t="str">
        <f>IF(SUM(D39:R39)&gt;0,SUM(D39:R39)/'Revenue Input'!$G35,"")</f>
        <v/>
      </c>
    </row>
    <row r="40" spans="1:19" s="31" customFormat="1" x14ac:dyDescent="0.2">
      <c r="A40" s="49"/>
      <c r="B40" s="65" t="str">
        <f>'Revenue Input'!B36</f>
        <v>8785</v>
      </c>
      <c r="C40" s="65" t="str">
        <f>'Revenue Input'!C36</f>
        <v>CMO Management fee</v>
      </c>
      <c r="D40" s="64" t="str">
        <f>IF('Revenue Input'!$G36="","",IF('Cash Flow %s Yr4'!D40="","",'Cash Flow %s Yr4'!D40*'Revenue Input'!$G36))</f>
        <v/>
      </c>
      <c r="E40" s="64" t="str">
        <f>IF('Revenue Input'!$G36="","",IF('Cash Flow %s Yr4'!E40="","",'Cash Flow %s Yr4'!E40*'Revenue Input'!$G36))</f>
        <v/>
      </c>
      <c r="F40" s="64" t="str">
        <f>IF('Revenue Input'!$G36="","",IF('Cash Flow %s Yr4'!F40="","",'Cash Flow %s Yr4'!F40*'Revenue Input'!$G36))</f>
        <v/>
      </c>
      <c r="G40" s="64" t="str">
        <f>IF('Revenue Input'!$G36="","",IF('Cash Flow %s Yr4'!G40="","",'Cash Flow %s Yr4'!G40*'Revenue Input'!$G36))</f>
        <v/>
      </c>
      <c r="H40" s="64" t="str">
        <f>IF('Revenue Input'!$G36="","",IF('Cash Flow %s Yr4'!H40="","",'Cash Flow %s Yr4'!H40*'Revenue Input'!$G36))</f>
        <v/>
      </c>
      <c r="I40" s="64" t="str">
        <f>IF('Revenue Input'!$G36="","",IF('Cash Flow %s Yr4'!I40="","",'Cash Flow %s Yr4'!I40*'Revenue Input'!$G36))</f>
        <v/>
      </c>
      <c r="J40" s="64" t="str">
        <f>IF('Revenue Input'!$G36="","",IF('Cash Flow %s Yr4'!J40="","",'Cash Flow %s Yr4'!J40*'Revenue Input'!$G36))</f>
        <v/>
      </c>
      <c r="K40" s="64" t="str">
        <f>IF('Revenue Input'!$G36="","",IF('Cash Flow %s Yr4'!K40="","",'Cash Flow %s Yr4'!K40*'Revenue Input'!$G36))</f>
        <v/>
      </c>
      <c r="L40" s="64" t="str">
        <f>IF('Revenue Input'!$G36="","",IF('Cash Flow %s Yr4'!L40="","",'Cash Flow %s Yr4'!L40*'Revenue Input'!$G36))</f>
        <v/>
      </c>
      <c r="M40" s="64" t="str">
        <f>IF('Revenue Input'!$G36="","",IF('Cash Flow %s Yr4'!M40="","",'Cash Flow %s Yr4'!M40*'Revenue Input'!$G36))</f>
        <v/>
      </c>
      <c r="N40" s="64" t="str">
        <f>IF('Revenue Input'!$G36="","",IF('Cash Flow %s Yr4'!N40="","",'Cash Flow %s Yr4'!N40*'Revenue Input'!$G36))</f>
        <v/>
      </c>
      <c r="O40" s="64" t="str">
        <f>IF('Revenue Input'!$G36="","",IF('Cash Flow %s Yr4'!O40="","",'Cash Flow %s Yr4'!O40*'Revenue Input'!$G36))</f>
        <v/>
      </c>
      <c r="P40" s="64" t="str">
        <f>IF('Revenue Input'!$G36="","",IF('Cash Flow %s Yr4'!P40="","",'Cash Flow %s Yr4'!P40*'Revenue Input'!$G36))</f>
        <v/>
      </c>
      <c r="Q40" s="64" t="str">
        <f>IF('Revenue Input'!$G36="","",IF('Cash Flow %s Yr4'!Q40="","",'Cash Flow %s Yr4'!Q40*'Revenue Input'!$G36))</f>
        <v/>
      </c>
      <c r="R40" s="64" t="str">
        <f>IF('Revenue Input'!$G36="","",IF('Cash Flow %s Yr4'!R40="","",'Cash Flow %s Yr4'!R40*'Revenue Input'!$G36))</f>
        <v/>
      </c>
      <c r="S40" s="111" t="str">
        <f>IF(SUM(D40:R40)&gt;0,SUM(D40:R40)/'Revenue Input'!$G36,"")</f>
        <v/>
      </c>
    </row>
    <row r="41" spans="1:19" s="31" customFormat="1" x14ac:dyDescent="0.2">
      <c r="A41" s="50"/>
      <c r="B41" s="65" t="str">
        <f>'Revenue Input'!B37</f>
        <v>8792</v>
      </c>
      <c r="C41" s="65" t="str">
        <f>'Revenue Input'!C37</f>
        <v>Special Ed - AB 602</v>
      </c>
      <c r="D41" s="64" t="str">
        <f>IF('Revenue Input'!$G37="","",IF('Cash Flow %s Yr4'!D41="","",'Cash Flow %s Yr4'!D41*'Revenue Input'!$G37))</f>
        <v/>
      </c>
      <c r="E41" s="64" t="str">
        <f>IF('Revenue Input'!$G37="","",IF('Cash Flow %s Yr4'!E41="","",'Cash Flow %s Yr4'!E41*'Revenue Input'!$G37))</f>
        <v/>
      </c>
      <c r="F41" s="64" t="str">
        <f>IF('Revenue Input'!$G37="","",IF('Cash Flow %s Yr4'!F41="","",'Cash Flow %s Yr4'!F41*'Revenue Input'!$G37))</f>
        <v/>
      </c>
      <c r="G41" s="64" t="str">
        <f>IF('Revenue Input'!$G37="","",IF('Cash Flow %s Yr4'!G41="","",'Cash Flow %s Yr4'!G41*'Revenue Input'!$G37))</f>
        <v/>
      </c>
      <c r="H41" s="64" t="str">
        <f>IF('Revenue Input'!$G37="","",IF('Cash Flow %s Yr4'!H41="","",'Cash Flow %s Yr4'!H41*'Revenue Input'!$G37))</f>
        <v/>
      </c>
      <c r="I41" s="64" t="str">
        <f>IF('Revenue Input'!$G37="","",IF('Cash Flow %s Yr4'!I41="","",'Cash Flow %s Yr4'!I41*'Revenue Input'!$G37))</f>
        <v/>
      </c>
      <c r="J41" s="64" t="str">
        <f>IF('Revenue Input'!$G37="","",IF('Cash Flow %s Yr4'!J41="","",'Cash Flow %s Yr4'!J41*'Revenue Input'!$G37))</f>
        <v/>
      </c>
      <c r="K41" s="64" t="str">
        <f>IF('Revenue Input'!$G37="","",IF('Cash Flow %s Yr4'!K41="","",'Cash Flow %s Yr4'!K41*'Revenue Input'!$G37))</f>
        <v/>
      </c>
      <c r="L41" s="64" t="str">
        <f>IF('Revenue Input'!$G37="","",IF('Cash Flow %s Yr4'!L41="","",'Cash Flow %s Yr4'!L41*'Revenue Input'!$G37))</f>
        <v/>
      </c>
      <c r="M41" s="64" t="str">
        <f>IF('Revenue Input'!$G37="","",IF('Cash Flow %s Yr4'!M41="","",'Cash Flow %s Yr4'!M41*'Revenue Input'!$G37))</f>
        <v/>
      </c>
      <c r="N41" s="64" t="str">
        <f>IF('Revenue Input'!$G37="","",IF('Cash Flow %s Yr4'!N41="","",'Cash Flow %s Yr4'!N41*'Revenue Input'!$G37))</f>
        <v/>
      </c>
      <c r="O41" s="64" t="str">
        <f>IF('Revenue Input'!$G37="","",IF('Cash Flow %s Yr4'!O41="","",'Cash Flow %s Yr4'!O41*'Revenue Input'!$G37))</f>
        <v/>
      </c>
      <c r="P41" s="64" t="str">
        <f>IF('Revenue Input'!$G37="","",IF('Cash Flow %s Yr4'!P41="","",'Cash Flow %s Yr4'!P41*'Revenue Input'!$G37))</f>
        <v/>
      </c>
      <c r="Q41" s="64" t="str">
        <f>IF('Revenue Input'!$G37="","",IF('Cash Flow %s Yr4'!Q41="","",'Cash Flow %s Yr4'!Q41*'Revenue Input'!$G37))</f>
        <v/>
      </c>
      <c r="R41" s="64" t="str">
        <f>IF('Revenue Input'!$G37="","",IF('Cash Flow %s Yr4'!R41="","",'Cash Flow %s Yr4'!R41*'Revenue Input'!$G37))</f>
        <v/>
      </c>
      <c r="S41" s="111" t="str">
        <f>IF(SUM(D41:R41)&gt;0,SUM(D41:R41)/'Revenue Input'!$G37,"")</f>
        <v/>
      </c>
    </row>
    <row r="42" spans="1:19" s="31" customFormat="1" ht="18" x14ac:dyDescent="0.2">
      <c r="A42" s="47"/>
      <c r="B42" s="65" t="str">
        <f>'Revenue Input'!B38</f>
        <v>8980</v>
      </c>
      <c r="C42" s="65" t="str">
        <f>'Revenue Input'!C38</f>
        <v>Student Lunch Revenue</v>
      </c>
      <c r="D42" s="64" t="str">
        <f>IF('Revenue Input'!$G38="","",IF('Cash Flow %s Yr4'!D42="","",'Cash Flow %s Yr4'!D42*'Revenue Input'!$G38))</f>
        <v/>
      </c>
      <c r="E42" s="64" t="str">
        <f>IF('Revenue Input'!$G38="","",IF('Cash Flow %s Yr4'!E42="","",'Cash Flow %s Yr4'!E42*'Revenue Input'!$G38))</f>
        <v/>
      </c>
      <c r="F42" s="64" t="str">
        <f>IF('Revenue Input'!$G38="","",IF('Cash Flow %s Yr4'!F42="","",'Cash Flow %s Yr4'!F42*'Revenue Input'!$G38))</f>
        <v/>
      </c>
      <c r="G42" s="64" t="str">
        <f>IF('Revenue Input'!$G38="","",IF('Cash Flow %s Yr4'!G42="","",'Cash Flow %s Yr4'!G42*'Revenue Input'!$G38))</f>
        <v/>
      </c>
      <c r="H42" s="64" t="str">
        <f>IF('Revenue Input'!$G38="","",IF('Cash Flow %s Yr4'!H42="","",'Cash Flow %s Yr4'!H42*'Revenue Input'!$G38))</f>
        <v/>
      </c>
      <c r="I42" s="64" t="str">
        <f>IF('Revenue Input'!$G38="","",IF('Cash Flow %s Yr4'!I42="","",'Cash Flow %s Yr4'!I42*'Revenue Input'!$G38))</f>
        <v/>
      </c>
      <c r="J42" s="64" t="str">
        <f>IF('Revenue Input'!$G38="","",IF('Cash Flow %s Yr4'!J42="","",'Cash Flow %s Yr4'!J42*'Revenue Input'!$G38))</f>
        <v/>
      </c>
      <c r="K42" s="64" t="str">
        <f>IF('Revenue Input'!$G38="","",IF('Cash Flow %s Yr4'!K42="","",'Cash Flow %s Yr4'!K42*'Revenue Input'!$G38))</f>
        <v/>
      </c>
      <c r="L42" s="64" t="str">
        <f>IF('Revenue Input'!$G38="","",IF('Cash Flow %s Yr4'!L42="","",'Cash Flow %s Yr4'!L42*'Revenue Input'!$G38))</f>
        <v/>
      </c>
      <c r="M42" s="64" t="str">
        <f>IF('Revenue Input'!$G38="","",IF('Cash Flow %s Yr4'!M42="","",'Cash Flow %s Yr4'!M42*'Revenue Input'!$G38))</f>
        <v/>
      </c>
      <c r="N42" s="64" t="str">
        <f>IF('Revenue Input'!$G38="","",IF('Cash Flow %s Yr4'!N42="","",'Cash Flow %s Yr4'!N42*'Revenue Input'!$G38))</f>
        <v/>
      </c>
      <c r="O42" s="64" t="str">
        <f>IF('Revenue Input'!$G38="","",IF('Cash Flow %s Yr4'!O42="","",'Cash Flow %s Yr4'!O42*'Revenue Input'!$G38))</f>
        <v/>
      </c>
      <c r="P42" s="64" t="str">
        <f>IF('Revenue Input'!$G38="","",IF('Cash Flow %s Yr4'!P42="","",'Cash Flow %s Yr4'!P42*'Revenue Input'!$G38))</f>
        <v/>
      </c>
      <c r="Q42" s="64" t="str">
        <f>IF('Revenue Input'!$G38="","",IF('Cash Flow %s Yr4'!Q42="","",'Cash Flow %s Yr4'!Q42*'Revenue Input'!$G38))</f>
        <v/>
      </c>
      <c r="R42" s="64" t="str">
        <f>IF('Revenue Input'!$G38="","",IF('Cash Flow %s Yr4'!R42="","",'Cash Flow %s Yr4'!R42*'Revenue Input'!$G38))</f>
        <v/>
      </c>
      <c r="S42" s="111" t="str">
        <f>IF(SUM(D42:R42)&gt;0,SUM(D42:R42)/'Revenue Input'!$G38,"")</f>
        <v/>
      </c>
    </row>
    <row r="43" spans="1:19" s="31" customFormat="1" ht="18" x14ac:dyDescent="0.2">
      <c r="A43" s="47"/>
      <c r="B43" s="65" t="str">
        <f>'Revenue Input'!B39</f>
        <v>8982</v>
      </c>
      <c r="C43" s="65" t="str">
        <f>'Revenue Input'!C39</f>
        <v>Foundation Grants</v>
      </c>
      <c r="D43" s="64" t="str">
        <f>IF('Revenue Input'!$G39="","",IF('Cash Flow %s Yr4'!D43="","",'Cash Flow %s Yr4'!D43*'Revenue Input'!$G39))</f>
        <v/>
      </c>
      <c r="E43" s="64" t="str">
        <f>IF('Revenue Input'!$G39="","",IF('Cash Flow %s Yr4'!E43="","",'Cash Flow %s Yr4'!E43*'Revenue Input'!$G39))</f>
        <v/>
      </c>
      <c r="F43" s="64" t="str">
        <f>IF('Revenue Input'!$G39="","",IF('Cash Flow %s Yr4'!F43="","",'Cash Flow %s Yr4'!F43*'Revenue Input'!$G39))</f>
        <v/>
      </c>
      <c r="G43" s="64" t="str">
        <f>IF('Revenue Input'!$G39="","",IF('Cash Flow %s Yr4'!G43="","",'Cash Flow %s Yr4'!G43*'Revenue Input'!$G39))</f>
        <v/>
      </c>
      <c r="H43" s="64" t="str">
        <f>IF('Revenue Input'!$G39="","",IF('Cash Flow %s Yr4'!H43="","",'Cash Flow %s Yr4'!H43*'Revenue Input'!$G39))</f>
        <v/>
      </c>
      <c r="I43" s="64" t="str">
        <f>IF('Revenue Input'!$G39="","",IF('Cash Flow %s Yr4'!I43="","",'Cash Flow %s Yr4'!I43*'Revenue Input'!$G39))</f>
        <v/>
      </c>
      <c r="J43" s="64" t="str">
        <f>IF('Revenue Input'!$G39="","",IF('Cash Flow %s Yr4'!J43="","",'Cash Flow %s Yr4'!J43*'Revenue Input'!$G39))</f>
        <v/>
      </c>
      <c r="K43" s="64" t="str">
        <f>IF('Revenue Input'!$G39="","",IF('Cash Flow %s Yr4'!K43="","",'Cash Flow %s Yr4'!K43*'Revenue Input'!$G39))</f>
        <v/>
      </c>
      <c r="L43" s="64" t="str">
        <f>IF('Revenue Input'!$G39="","",IF('Cash Flow %s Yr4'!L43="","",'Cash Flow %s Yr4'!L43*'Revenue Input'!$G39))</f>
        <v/>
      </c>
      <c r="M43" s="64" t="str">
        <f>IF('Revenue Input'!$G39="","",IF('Cash Flow %s Yr4'!M43="","",'Cash Flow %s Yr4'!M43*'Revenue Input'!$G39))</f>
        <v/>
      </c>
      <c r="N43" s="64" t="str">
        <f>IF('Revenue Input'!$G39="","",IF('Cash Flow %s Yr4'!N43="","",'Cash Flow %s Yr4'!N43*'Revenue Input'!$G39))</f>
        <v/>
      </c>
      <c r="O43" s="64" t="str">
        <f>IF('Revenue Input'!$G39="","",IF('Cash Flow %s Yr4'!O43="","",'Cash Flow %s Yr4'!O43*'Revenue Input'!$G39))</f>
        <v/>
      </c>
      <c r="P43" s="64" t="str">
        <f>IF('Revenue Input'!$G39="","",IF('Cash Flow %s Yr4'!P43="","",'Cash Flow %s Yr4'!P43*'Revenue Input'!$G39))</f>
        <v/>
      </c>
      <c r="Q43" s="64" t="str">
        <f>IF('Revenue Input'!$G39="","",IF('Cash Flow %s Yr4'!Q43="","",'Cash Flow %s Yr4'!Q43*'Revenue Input'!$G39))</f>
        <v/>
      </c>
      <c r="R43" s="64" t="str">
        <f>IF('Revenue Input'!$G39="","",IF('Cash Flow %s Yr4'!R43="","",'Cash Flow %s Yr4'!R43*'Revenue Input'!$G39))</f>
        <v/>
      </c>
      <c r="S43" s="111" t="str">
        <f>IF(SUM(D43:R43)&gt;0,SUM(D43:R43)/'Revenue Input'!$G39,"")</f>
        <v/>
      </c>
    </row>
    <row r="44" spans="1:19" s="31" customFormat="1" ht="18" x14ac:dyDescent="0.2">
      <c r="A44" s="47"/>
      <c r="B44" s="65" t="str">
        <f>'Revenue Input'!B40</f>
        <v>8983</v>
      </c>
      <c r="C44" s="65" t="str">
        <f>'Revenue Input'!C40</f>
        <v>All Other Local Revenue</v>
      </c>
      <c r="D44" s="64" t="str">
        <f>IF('Revenue Input'!$G40="","",IF('Cash Flow %s Yr4'!D44="","",'Cash Flow %s Yr4'!D44*'Revenue Input'!$G40))</f>
        <v/>
      </c>
      <c r="E44" s="64" t="str">
        <f>IF('Revenue Input'!$G40="","",IF('Cash Flow %s Yr4'!E44="","",'Cash Flow %s Yr4'!E44*'Revenue Input'!$G40))</f>
        <v/>
      </c>
      <c r="F44" s="64" t="str">
        <f>IF('Revenue Input'!$G40="","",IF('Cash Flow %s Yr4'!F44="","",'Cash Flow %s Yr4'!F44*'Revenue Input'!$G40))</f>
        <v/>
      </c>
      <c r="G44" s="64" t="str">
        <f>IF('Revenue Input'!$G40="","",IF('Cash Flow %s Yr4'!G44="","",'Cash Flow %s Yr4'!G44*'Revenue Input'!$G40))</f>
        <v/>
      </c>
      <c r="H44" s="64" t="str">
        <f>IF('Revenue Input'!$G40="","",IF('Cash Flow %s Yr4'!H44="","",'Cash Flow %s Yr4'!H44*'Revenue Input'!$G40))</f>
        <v/>
      </c>
      <c r="I44" s="64" t="str">
        <f>IF('Revenue Input'!$G40="","",IF('Cash Flow %s Yr4'!I44="","",'Cash Flow %s Yr4'!I44*'Revenue Input'!$G40))</f>
        <v/>
      </c>
      <c r="J44" s="64" t="str">
        <f>IF('Revenue Input'!$G40="","",IF('Cash Flow %s Yr4'!J44="","",'Cash Flow %s Yr4'!J44*'Revenue Input'!$G40))</f>
        <v/>
      </c>
      <c r="K44" s="64" t="str">
        <f>IF('Revenue Input'!$G40="","",IF('Cash Flow %s Yr4'!K44="","",'Cash Flow %s Yr4'!K44*'Revenue Input'!$G40))</f>
        <v/>
      </c>
      <c r="L44" s="64" t="str">
        <f>IF('Revenue Input'!$G40="","",IF('Cash Flow %s Yr4'!L44="","",'Cash Flow %s Yr4'!L44*'Revenue Input'!$G40))</f>
        <v/>
      </c>
      <c r="M44" s="64" t="str">
        <f>IF('Revenue Input'!$G40="","",IF('Cash Flow %s Yr4'!M44="","",'Cash Flow %s Yr4'!M44*'Revenue Input'!$G40))</f>
        <v/>
      </c>
      <c r="N44" s="64" t="str">
        <f>IF('Revenue Input'!$G40="","",IF('Cash Flow %s Yr4'!N44="","",'Cash Flow %s Yr4'!N44*'Revenue Input'!$G40))</f>
        <v/>
      </c>
      <c r="O44" s="64" t="str">
        <f>IF('Revenue Input'!$G40="","",IF('Cash Flow %s Yr4'!O44="","",'Cash Flow %s Yr4'!O44*'Revenue Input'!$G40))</f>
        <v/>
      </c>
      <c r="P44" s="64" t="str">
        <f>IF('Revenue Input'!$G40="","",IF('Cash Flow %s Yr4'!P44="","",'Cash Flow %s Yr4'!P44*'Revenue Input'!$G40))</f>
        <v/>
      </c>
      <c r="Q44" s="64" t="str">
        <f>IF('Revenue Input'!$G40="","",IF('Cash Flow %s Yr4'!Q44="","",'Cash Flow %s Yr4'!Q44*'Revenue Input'!$G40))</f>
        <v/>
      </c>
      <c r="R44" s="64" t="str">
        <f>IF('Revenue Input'!$G40="","",IF('Cash Flow %s Yr4'!R44="","",'Cash Flow %s Yr4'!R44*'Revenue Input'!$G40))</f>
        <v/>
      </c>
      <c r="S44" s="111" t="str">
        <f>IF(SUM(D44:R44)&gt;0,SUM(D44:R44)/'Revenue Input'!$G40,"")</f>
        <v/>
      </c>
    </row>
    <row r="45" spans="1:19" s="31" customFormat="1" ht="18" x14ac:dyDescent="0.2">
      <c r="A45" s="47"/>
      <c r="B45" s="65" t="str">
        <f>'Revenue Input'!B41</f>
        <v>8984</v>
      </c>
      <c r="C45" s="65" t="str">
        <f>'Revenue Input'!C41</f>
        <v>Student Body (ASB) Fundraising Revenue</v>
      </c>
      <c r="D45" s="64" t="str">
        <f>IF('Revenue Input'!$G41="","",IF('Cash Flow %s Yr4'!D45="","",'Cash Flow %s Yr4'!D45*'Revenue Input'!$G41))</f>
        <v/>
      </c>
      <c r="E45" s="64" t="str">
        <f>IF('Revenue Input'!$G41="","",IF('Cash Flow %s Yr4'!E45="","",'Cash Flow %s Yr4'!E45*'Revenue Input'!$G41))</f>
        <v/>
      </c>
      <c r="F45" s="64" t="str">
        <f>IF('Revenue Input'!$G41="","",IF('Cash Flow %s Yr4'!F45="","",'Cash Flow %s Yr4'!F45*'Revenue Input'!$G41))</f>
        <v/>
      </c>
      <c r="G45" s="64" t="str">
        <f>IF('Revenue Input'!$G41="","",IF('Cash Flow %s Yr4'!G45="","",'Cash Flow %s Yr4'!G45*'Revenue Input'!$G41))</f>
        <v/>
      </c>
      <c r="H45" s="64" t="str">
        <f>IF('Revenue Input'!$G41="","",IF('Cash Flow %s Yr4'!H45="","",'Cash Flow %s Yr4'!H45*'Revenue Input'!$G41))</f>
        <v/>
      </c>
      <c r="I45" s="64" t="str">
        <f>IF('Revenue Input'!$G41="","",IF('Cash Flow %s Yr4'!I45="","",'Cash Flow %s Yr4'!I45*'Revenue Input'!$G41))</f>
        <v/>
      </c>
      <c r="J45" s="64" t="str">
        <f>IF('Revenue Input'!$G41="","",IF('Cash Flow %s Yr4'!J45="","",'Cash Flow %s Yr4'!J45*'Revenue Input'!$G41))</f>
        <v/>
      </c>
      <c r="K45" s="64" t="str">
        <f>IF('Revenue Input'!$G41="","",IF('Cash Flow %s Yr4'!K45="","",'Cash Flow %s Yr4'!K45*'Revenue Input'!$G41))</f>
        <v/>
      </c>
      <c r="L45" s="64" t="str">
        <f>IF('Revenue Input'!$G41="","",IF('Cash Flow %s Yr4'!L45="","",'Cash Flow %s Yr4'!L45*'Revenue Input'!$G41))</f>
        <v/>
      </c>
      <c r="M45" s="64" t="str">
        <f>IF('Revenue Input'!$G41="","",IF('Cash Flow %s Yr4'!M45="","",'Cash Flow %s Yr4'!M45*'Revenue Input'!$G41))</f>
        <v/>
      </c>
      <c r="N45" s="64" t="str">
        <f>IF('Revenue Input'!$G41="","",IF('Cash Flow %s Yr4'!N45="","",'Cash Flow %s Yr4'!N45*'Revenue Input'!$G41))</f>
        <v/>
      </c>
      <c r="O45" s="64" t="str">
        <f>IF('Revenue Input'!$G41="","",IF('Cash Flow %s Yr4'!O45="","",'Cash Flow %s Yr4'!O45*'Revenue Input'!$G41))</f>
        <v/>
      </c>
      <c r="P45" s="64" t="str">
        <f>IF('Revenue Input'!$G41="","",IF('Cash Flow %s Yr4'!P45="","",'Cash Flow %s Yr4'!P45*'Revenue Input'!$G41))</f>
        <v/>
      </c>
      <c r="Q45" s="64" t="str">
        <f>IF('Revenue Input'!$G41="","",IF('Cash Flow %s Yr4'!Q45="","",'Cash Flow %s Yr4'!Q45*'Revenue Input'!$G41))</f>
        <v/>
      </c>
      <c r="R45" s="64" t="str">
        <f>IF('Revenue Input'!$G41="","",IF('Cash Flow %s Yr4'!R45="","",'Cash Flow %s Yr4'!R45*'Revenue Input'!$G41))</f>
        <v/>
      </c>
      <c r="S45" s="111" t="str">
        <f>IF(SUM(D45:R45)&gt;0,SUM(D45:R45)/'Revenue Input'!$G41,"")</f>
        <v/>
      </c>
    </row>
    <row r="46" spans="1:19" s="31" customFormat="1" ht="18" x14ac:dyDescent="0.2">
      <c r="A46" s="47"/>
      <c r="B46" s="65" t="str">
        <f>'Revenue Input'!B42</f>
        <v>8985</v>
      </c>
      <c r="C46" s="65" t="str">
        <f>'Revenue Input'!C42</f>
        <v>School Site Fundraising</v>
      </c>
      <c r="D46" s="64">
        <f>IF('Revenue Input'!$G42="","",IF('Cash Flow %s Yr4'!D49="","",'Cash Flow %s Yr4'!D49*'Revenue Input'!$G42))</f>
        <v>0</v>
      </c>
      <c r="E46" s="64">
        <f>IF('Revenue Input'!$G42="","",IF('Cash Flow %s Yr4'!E49="","",'Cash Flow %s Yr4'!E49*'Revenue Input'!$G42))</f>
        <v>0</v>
      </c>
      <c r="F46" s="64">
        <f>IF('Revenue Input'!$G42="","",IF('Cash Flow %s Yr4'!F49="","",'Cash Flow %s Yr4'!F49*'Revenue Input'!$G42))</f>
        <v>5000</v>
      </c>
      <c r="G46" s="64">
        <f>IF('Revenue Input'!$G42="","",IF('Cash Flow %s Yr4'!G49="","",'Cash Flow %s Yr4'!G49*'Revenue Input'!$G42))</f>
        <v>5000</v>
      </c>
      <c r="H46" s="64">
        <f>IF('Revenue Input'!$G42="","",IF('Cash Flow %s Yr4'!H49="","",'Cash Flow %s Yr4'!H49*'Revenue Input'!$G42))</f>
        <v>5000</v>
      </c>
      <c r="I46" s="64">
        <f>IF('Revenue Input'!$G42="","",IF('Cash Flow %s Yr4'!I49="","",'Cash Flow %s Yr4'!I49*'Revenue Input'!$G42))</f>
        <v>5000</v>
      </c>
      <c r="J46" s="64">
        <f>IF('Revenue Input'!$G42="","",IF('Cash Flow %s Yr4'!J49="","",'Cash Flow %s Yr4'!J49*'Revenue Input'!$G42))</f>
        <v>5000</v>
      </c>
      <c r="K46" s="64">
        <f>IF('Revenue Input'!$G42="","",IF('Cash Flow %s Yr4'!K49="","",'Cash Flow %s Yr4'!K49*'Revenue Input'!$G42))</f>
        <v>5000</v>
      </c>
      <c r="L46" s="64">
        <f>IF('Revenue Input'!$G42="","",IF('Cash Flow %s Yr4'!L49="","",'Cash Flow %s Yr4'!L49*'Revenue Input'!$G42))</f>
        <v>5000</v>
      </c>
      <c r="M46" s="64">
        <f>IF('Revenue Input'!$G42="","",IF('Cash Flow %s Yr4'!M49="","",'Cash Flow %s Yr4'!M49*'Revenue Input'!$G42))</f>
        <v>5000</v>
      </c>
      <c r="N46" s="64">
        <f>IF('Revenue Input'!$G42="","",IF('Cash Flow %s Yr4'!N49="","",'Cash Flow %s Yr4'!N49*'Revenue Input'!$G42))</f>
        <v>5000</v>
      </c>
      <c r="O46" s="64">
        <f>IF('Revenue Input'!$G42="","",IF('Cash Flow %s Yr4'!O49="","",'Cash Flow %s Yr4'!O49*'Revenue Input'!$G42))</f>
        <v>5000</v>
      </c>
      <c r="P46" s="64">
        <f>IF('Revenue Input'!$G42="","",IF('Cash Flow %s Yr4'!P49="","",'Cash Flow %s Yr4'!P49*'Revenue Input'!$G42))</f>
        <v>0</v>
      </c>
      <c r="Q46" s="64">
        <f>IF('Revenue Input'!$G42="","",IF('Cash Flow %s Yr4'!Q49="","",'Cash Flow %s Yr4'!Q49*'Revenue Input'!$G42))</f>
        <v>0</v>
      </c>
      <c r="R46" s="64">
        <f>IF('Revenue Input'!$G42="","",IF('Cash Flow %s Yr4'!R49="","",'Cash Flow %s Yr4'!R49*'Revenue Input'!$G42))</f>
        <v>0</v>
      </c>
      <c r="S46" s="111">
        <f>IF(SUM(D46:R46)&gt;0,SUM(D46:R46)/'Revenue Input'!$G42,"")</f>
        <v>1</v>
      </c>
    </row>
    <row r="47" spans="1:19" s="31" customFormat="1" ht="18" x14ac:dyDescent="0.2">
      <c r="A47" s="47"/>
      <c r="B47" s="65" t="str">
        <f>'Revenue Input'!B43</f>
        <v>8986</v>
      </c>
      <c r="C47" s="65" t="str">
        <f>'Revenue Input'!C43</f>
        <v>Rental Income</v>
      </c>
      <c r="D47" s="64" t="str">
        <f>IF('Revenue Input'!$G43="","",IF('Cash Flow %s Yr4'!D50="","",'Cash Flow %s Yr4'!D50*'Revenue Input'!$G43))</f>
        <v/>
      </c>
      <c r="E47" s="64" t="str">
        <f>IF('Revenue Input'!$G43="","",IF('Cash Flow %s Yr4'!E50="","",'Cash Flow %s Yr4'!E50*'Revenue Input'!$G43))</f>
        <v/>
      </c>
      <c r="F47" s="64" t="str">
        <f>IF('Revenue Input'!$G43="","",IF('Cash Flow %s Yr4'!F50="","",'Cash Flow %s Yr4'!F50*'Revenue Input'!$G43))</f>
        <v/>
      </c>
      <c r="G47" s="64" t="str">
        <f>IF('Revenue Input'!$G43="","",IF('Cash Flow %s Yr4'!G50="","",'Cash Flow %s Yr4'!G50*'Revenue Input'!$G43))</f>
        <v/>
      </c>
      <c r="H47" s="64" t="str">
        <f>IF('Revenue Input'!$G43="","",IF('Cash Flow %s Yr4'!H50="","",'Cash Flow %s Yr4'!H50*'Revenue Input'!$G43))</f>
        <v/>
      </c>
      <c r="I47" s="64" t="str">
        <f>IF('Revenue Input'!$G43="","",IF('Cash Flow %s Yr4'!I50="","",'Cash Flow %s Yr4'!I50*'Revenue Input'!$G43))</f>
        <v/>
      </c>
      <c r="J47" s="64" t="str">
        <f>IF('Revenue Input'!$G43="","",IF('Cash Flow %s Yr4'!J50="","",'Cash Flow %s Yr4'!J50*'Revenue Input'!$G43))</f>
        <v/>
      </c>
      <c r="K47" s="64" t="str">
        <f>IF('Revenue Input'!$G43="","",IF('Cash Flow %s Yr4'!K50="","",'Cash Flow %s Yr4'!K50*'Revenue Input'!$G43))</f>
        <v/>
      </c>
      <c r="L47" s="64" t="str">
        <f>IF('Revenue Input'!$G43="","",IF('Cash Flow %s Yr4'!L50="","",'Cash Flow %s Yr4'!L50*'Revenue Input'!$G43))</f>
        <v/>
      </c>
      <c r="M47" s="64" t="str">
        <f>IF('Revenue Input'!$G43="","",IF('Cash Flow %s Yr4'!M50="","",'Cash Flow %s Yr4'!M50*'Revenue Input'!$G43))</f>
        <v/>
      </c>
      <c r="N47" s="64" t="str">
        <f>IF('Revenue Input'!$G43="","",IF('Cash Flow %s Yr4'!N50="","",'Cash Flow %s Yr4'!N50*'Revenue Input'!$G43))</f>
        <v/>
      </c>
      <c r="O47" s="64" t="str">
        <f>IF('Revenue Input'!$G43="","",IF('Cash Flow %s Yr4'!O50="","",'Cash Flow %s Yr4'!O50*'Revenue Input'!$G43))</f>
        <v/>
      </c>
      <c r="P47" s="64" t="str">
        <f>IF('Revenue Input'!$G43="","",IF('Cash Flow %s Yr4'!P50="","",'Cash Flow %s Yr4'!P50*'Revenue Input'!$G43))</f>
        <v/>
      </c>
      <c r="Q47" s="64" t="str">
        <f>IF('Revenue Input'!$G43="","",IF('Cash Flow %s Yr4'!Q50="","",'Cash Flow %s Yr4'!Q50*'Revenue Input'!$G43))</f>
        <v/>
      </c>
      <c r="R47" s="64" t="str">
        <f>IF('Revenue Input'!$G43="","",IF('Cash Flow %s Yr4'!R50="","",'Cash Flow %s Yr4'!R50*'Revenue Input'!$G43))</f>
        <v/>
      </c>
      <c r="S47" s="111" t="str">
        <f>IF(SUM(D47:R47)&gt;0,SUM(D47:R47)/'Revenue Input'!$G43,"")</f>
        <v/>
      </c>
    </row>
    <row r="48" spans="1:19" s="31" customFormat="1" ht="18" x14ac:dyDescent="0.2">
      <c r="A48" s="47"/>
      <c r="B48" s="65" t="str">
        <f>'Revenue Input'!B44</f>
        <v>8989</v>
      </c>
      <c r="C48" s="65" t="str">
        <f>'Revenue Input'!C44</f>
        <v>Fees for Service</v>
      </c>
      <c r="D48" s="64" t="str">
        <f>IF('Revenue Input'!$G44="","",IF('Cash Flow %s Yr4'!D51="","",'Cash Flow %s Yr4'!D51*'Revenue Input'!$G44))</f>
        <v/>
      </c>
      <c r="E48" s="64" t="str">
        <f>IF('Revenue Input'!$G44="","",IF('Cash Flow %s Yr4'!E51="","",'Cash Flow %s Yr4'!E51*'Revenue Input'!$G44))</f>
        <v/>
      </c>
      <c r="F48" s="64" t="str">
        <f>IF('Revenue Input'!$G44="","",IF('Cash Flow %s Yr4'!F51="","",'Cash Flow %s Yr4'!F51*'Revenue Input'!$G44))</f>
        <v/>
      </c>
      <c r="G48" s="64" t="str">
        <f>IF('Revenue Input'!$G44="","",IF('Cash Flow %s Yr4'!G51="","",'Cash Flow %s Yr4'!G51*'Revenue Input'!$G44))</f>
        <v/>
      </c>
      <c r="H48" s="64" t="str">
        <f>IF('Revenue Input'!$G44="","",IF('Cash Flow %s Yr4'!H51="","",'Cash Flow %s Yr4'!H51*'Revenue Input'!$G44))</f>
        <v/>
      </c>
      <c r="I48" s="64" t="str">
        <f>IF('Revenue Input'!$G44="","",IF('Cash Flow %s Yr4'!I51="","",'Cash Flow %s Yr4'!I51*'Revenue Input'!$G44))</f>
        <v/>
      </c>
      <c r="J48" s="64" t="str">
        <f>IF('Revenue Input'!$G44="","",IF('Cash Flow %s Yr4'!J51="","",'Cash Flow %s Yr4'!J51*'Revenue Input'!$G44))</f>
        <v/>
      </c>
      <c r="K48" s="64" t="str">
        <f>IF('Revenue Input'!$G44="","",IF('Cash Flow %s Yr4'!K51="","",'Cash Flow %s Yr4'!K51*'Revenue Input'!$G44))</f>
        <v/>
      </c>
      <c r="L48" s="64" t="str">
        <f>IF('Revenue Input'!$G44="","",IF('Cash Flow %s Yr4'!L51="","",'Cash Flow %s Yr4'!L51*'Revenue Input'!$G44))</f>
        <v/>
      </c>
      <c r="M48" s="64" t="str">
        <f>IF('Revenue Input'!$G44="","",IF('Cash Flow %s Yr4'!M51="","",'Cash Flow %s Yr4'!M51*'Revenue Input'!$G44))</f>
        <v/>
      </c>
      <c r="N48" s="64" t="str">
        <f>IF('Revenue Input'!$G44="","",IF('Cash Flow %s Yr4'!N51="","",'Cash Flow %s Yr4'!N51*'Revenue Input'!$G44))</f>
        <v/>
      </c>
      <c r="O48" s="64" t="str">
        <f>IF('Revenue Input'!$G44="","",IF('Cash Flow %s Yr4'!O51="","",'Cash Flow %s Yr4'!O51*'Revenue Input'!$G44))</f>
        <v/>
      </c>
      <c r="P48" s="64" t="str">
        <f>IF('Revenue Input'!$G44="","",IF('Cash Flow %s Yr4'!P51="","",'Cash Flow %s Yr4'!P51*'Revenue Input'!$G44))</f>
        <v/>
      </c>
      <c r="Q48" s="64" t="str">
        <f>IF('Revenue Input'!$G44="","",IF('Cash Flow %s Yr4'!Q51="","",'Cash Flow %s Yr4'!Q51*'Revenue Input'!$G44))</f>
        <v/>
      </c>
      <c r="R48" s="64" t="str">
        <f>IF('Revenue Input'!$G44="","",IF('Cash Flow %s Yr4'!R51="","",'Cash Flow %s Yr4'!R51*'Revenue Input'!$G44))</f>
        <v/>
      </c>
      <c r="S48" s="111" t="str">
        <f>IF(SUM(D48:R48)&gt;0,SUM(D48:R48)/'Revenue Input'!$G44,"")</f>
        <v/>
      </c>
    </row>
    <row r="49" spans="1:19" s="31" customFormat="1" ht="18" x14ac:dyDescent="0.2">
      <c r="A49" s="47"/>
      <c r="B49" s="65" t="str">
        <f>'Revenue Input'!B45</f>
        <v>8999</v>
      </c>
      <c r="C49" s="65" t="str">
        <f>'Revenue Input'!C45</f>
        <v>Revenue Suspense</v>
      </c>
      <c r="D49" s="64" t="str">
        <f>IF('Revenue Input'!$G45="","",IF('Cash Flow %s Yr4'!D52="","",'Cash Flow %s Yr4'!D52*'Revenue Input'!$G45))</f>
        <v/>
      </c>
      <c r="E49" s="64" t="str">
        <f>IF('Revenue Input'!$G45="","",IF('Cash Flow %s Yr4'!E52="","",'Cash Flow %s Yr4'!E52*'Revenue Input'!$G45))</f>
        <v/>
      </c>
      <c r="F49" s="64" t="str">
        <f>IF('Revenue Input'!$G45="","",IF('Cash Flow %s Yr4'!F52="","",'Cash Flow %s Yr4'!F52*'Revenue Input'!$G45))</f>
        <v/>
      </c>
      <c r="G49" s="64" t="str">
        <f>IF('Revenue Input'!$G45="","",IF('Cash Flow %s Yr4'!G52="","",'Cash Flow %s Yr4'!G52*'Revenue Input'!$G45))</f>
        <v/>
      </c>
      <c r="H49" s="64" t="str">
        <f>IF('Revenue Input'!$G45="","",IF('Cash Flow %s Yr4'!H52="","",'Cash Flow %s Yr4'!H52*'Revenue Input'!$G45))</f>
        <v/>
      </c>
      <c r="I49" s="64" t="str">
        <f>IF('Revenue Input'!$G45="","",IF('Cash Flow %s Yr4'!I52="","",'Cash Flow %s Yr4'!I52*'Revenue Input'!$G45))</f>
        <v/>
      </c>
      <c r="J49" s="64" t="str">
        <f>IF('Revenue Input'!$G45="","",IF('Cash Flow %s Yr4'!J52="","",'Cash Flow %s Yr4'!J52*'Revenue Input'!$G45))</f>
        <v/>
      </c>
      <c r="K49" s="64" t="str">
        <f>IF('Revenue Input'!$G45="","",IF('Cash Flow %s Yr4'!K52="","",'Cash Flow %s Yr4'!K52*'Revenue Input'!$G45))</f>
        <v/>
      </c>
      <c r="L49" s="64" t="str">
        <f>IF('Revenue Input'!$G45="","",IF('Cash Flow %s Yr4'!L52="","",'Cash Flow %s Yr4'!L52*'Revenue Input'!$G45))</f>
        <v/>
      </c>
      <c r="M49" s="64" t="str">
        <f>IF('Revenue Input'!$G45="","",IF('Cash Flow %s Yr4'!M52="","",'Cash Flow %s Yr4'!M52*'Revenue Input'!$G45))</f>
        <v/>
      </c>
      <c r="N49" s="64" t="str">
        <f>IF('Revenue Input'!$G45="","",IF('Cash Flow %s Yr4'!N52="","",'Cash Flow %s Yr4'!N52*'Revenue Input'!$G45))</f>
        <v/>
      </c>
      <c r="O49" s="64" t="str">
        <f>IF('Revenue Input'!$G45="","",IF('Cash Flow %s Yr4'!O52="","",'Cash Flow %s Yr4'!O52*'Revenue Input'!$G45))</f>
        <v/>
      </c>
      <c r="P49" s="64" t="str">
        <f>IF('Revenue Input'!$G45="","",IF('Cash Flow %s Yr4'!P52="","",'Cash Flow %s Yr4'!P52*'Revenue Input'!$G45))</f>
        <v/>
      </c>
      <c r="Q49" s="64" t="str">
        <f>IF('Revenue Input'!$G45="","",IF('Cash Flow %s Yr4'!Q52="","",'Cash Flow %s Yr4'!Q52*'Revenue Input'!$G45))</f>
        <v/>
      </c>
      <c r="R49" s="64" t="str">
        <f>IF('Revenue Input'!$G45="","",IF('Cash Flow %s Yr4'!R52="","",'Cash Flow %s Yr4'!R52*'Revenue Input'!$G45))</f>
        <v/>
      </c>
      <c r="S49" s="111" t="str">
        <f>IF(SUM(D49:R49)&gt;0,SUM(D49:R49)/'Revenue Input'!$G45,"")</f>
        <v/>
      </c>
    </row>
    <row r="50" spans="1:19" s="31" customFormat="1" ht="18" x14ac:dyDescent="0.2">
      <c r="A50" s="47"/>
      <c r="B50" s="72"/>
      <c r="C50" s="34" t="s">
        <v>721</v>
      </c>
      <c r="D50" s="192">
        <f t="shared" ref="D50:R50" si="2">SUM(D37:D49)</f>
        <v>83</v>
      </c>
      <c r="E50" s="192">
        <f t="shared" si="2"/>
        <v>83</v>
      </c>
      <c r="F50" s="192">
        <f t="shared" si="2"/>
        <v>5083</v>
      </c>
      <c r="G50" s="192">
        <f t="shared" si="2"/>
        <v>5083</v>
      </c>
      <c r="H50" s="192">
        <f t="shared" si="2"/>
        <v>5083</v>
      </c>
      <c r="I50" s="192">
        <f t="shared" si="2"/>
        <v>5083</v>
      </c>
      <c r="J50" s="192">
        <f t="shared" si="2"/>
        <v>5083</v>
      </c>
      <c r="K50" s="192">
        <f t="shared" si="2"/>
        <v>5083</v>
      </c>
      <c r="L50" s="192">
        <f t="shared" si="2"/>
        <v>5084</v>
      </c>
      <c r="M50" s="192">
        <f t="shared" si="2"/>
        <v>5084</v>
      </c>
      <c r="N50" s="192">
        <f t="shared" si="2"/>
        <v>5084</v>
      </c>
      <c r="O50" s="192">
        <f t="shared" si="2"/>
        <v>5084</v>
      </c>
      <c r="P50" s="192">
        <f t="shared" si="2"/>
        <v>0</v>
      </c>
      <c r="Q50" s="192">
        <f t="shared" si="2"/>
        <v>0</v>
      </c>
      <c r="R50" s="192">
        <f t="shared" si="2"/>
        <v>0</v>
      </c>
      <c r="S50" s="107"/>
    </row>
    <row r="51" spans="1:19" s="31" customFormat="1" ht="18" x14ac:dyDescent="0.2">
      <c r="A51" s="47"/>
      <c r="B51" s="49" t="s">
        <v>677</v>
      </c>
      <c r="C51" s="50"/>
      <c r="D51" s="193">
        <f t="shared" ref="D51:R51" si="3">SUM(D50,D34,D23)</f>
        <v>87263.535486284381</v>
      </c>
      <c r="E51" s="193">
        <f t="shared" si="3"/>
        <v>91550.009656035982</v>
      </c>
      <c r="F51" s="193">
        <f t="shared" si="3"/>
        <v>62707.237369255003</v>
      </c>
      <c r="G51" s="193">
        <f t="shared" si="3"/>
        <v>103484.85415265901</v>
      </c>
      <c r="H51" s="193">
        <f t="shared" si="3"/>
        <v>97206.730133596502</v>
      </c>
      <c r="I51" s="193">
        <f t="shared" si="3"/>
        <v>93805.750729168998</v>
      </c>
      <c r="J51" s="193">
        <f t="shared" si="3"/>
        <v>103484.85415265901</v>
      </c>
      <c r="K51" s="193">
        <f t="shared" si="3"/>
        <v>122740.98586359651</v>
      </c>
      <c r="L51" s="193">
        <f t="shared" si="3"/>
        <v>84000.847966786489</v>
      </c>
      <c r="M51" s="193">
        <f t="shared" si="3"/>
        <v>105133.836947659</v>
      </c>
      <c r="N51" s="193">
        <f t="shared" si="3"/>
        <v>93795.405428596496</v>
      </c>
      <c r="O51" s="193">
        <f t="shared" si="3"/>
        <v>83556.424447658996</v>
      </c>
      <c r="P51" s="193">
        <f t="shared" si="3"/>
        <v>76163.564012659001</v>
      </c>
      <c r="Q51" s="193">
        <f t="shared" si="3"/>
        <v>10238.980980937498</v>
      </c>
      <c r="R51" s="193">
        <f t="shared" si="3"/>
        <v>0</v>
      </c>
      <c r="S51" s="107"/>
    </row>
    <row r="52" spans="1:19" s="31" customFormat="1" ht="18" x14ac:dyDescent="0.2">
      <c r="A52" s="47"/>
      <c r="B52" s="72"/>
      <c r="C52" s="50"/>
      <c r="D52" s="127"/>
      <c r="E52" s="127"/>
      <c r="F52" s="127"/>
      <c r="G52" s="127"/>
      <c r="H52" s="127"/>
      <c r="I52" s="127"/>
      <c r="J52" s="127"/>
      <c r="K52" s="127"/>
      <c r="L52" s="127"/>
      <c r="M52" s="127"/>
      <c r="N52" s="127"/>
      <c r="O52" s="127"/>
      <c r="P52" s="127"/>
      <c r="Q52" s="127"/>
      <c r="R52" s="127"/>
    </row>
    <row r="53" spans="1:19" s="31" customFormat="1" ht="18" x14ac:dyDescent="0.2">
      <c r="A53" s="47" t="s">
        <v>802</v>
      </c>
      <c r="B53" s="73"/>
      <c r="C53" s="34"/>
      <c r="D53" s="128"/>
      <c r="E53" s="128"/>
      <c r="F53" s="128"/>
      <c r="G53" s="128"/>
      <c r="H53" s="128"/>
      <c r="I53" s="128"/>
      <c r="J53" s="128"/>
      <c r="K53" s="128"/>
      <c r="L53" s="128"/>
      <c r="M53" s="128"/>
      <c r="N53" s="128"/>
      <c r="O53" s="128"/>
      <c r="P53" s="128"/>
      <c r="Q53" s="128"/>
      <c r="R53" s="128"/>
    </row>
    <row r="54" spans="1:19" x14ac:dyDescent="0.2">
      <c r="A54" s="1"/>
      <c r="B54" s="34" t="s">
        <v>733</v>
      </c>
      <c r="C54" s="3"/>
      <c r="D54" s="107"/>
      <c r="E54" s="107"/>
      <c r="F54" s="107"/>
      <c r="G54" s="107"/>
      <c r="H54" s="107"/>
      <c r="I54" s="107"/>
      <c r="J54" s="107"/>
      <c r="K54" s="107"/>
      <c r="L54" s="107"/>
      <c r="M54" s="107"/>
      <c r="N54" s="107"/>
      <c r="O54" s="107"/>
      <c r="P54" s="107"/>
      <c r="Q54" s="107"/>
      <c r="R54" s="107"/>
    </row>
    <row r="55" spans="1:19" x14ac:dyDescent="0.2">
      <c r="A55" s="36"/>
      <c r="B55" s="67" t="str">
        <f>'Expenses Summary'!B8</f>
        <v>1100</v>
      </c>
      <c r="C55" s="67" t="str">
        <f>'Expenses Summary'!C8</f>
        <v>Teachers'  Salaries</v>
      </c>
      <c r="D55" s="64">
        <f>IF('Expenses Summary'!$G8="","",IF('Cash Flow %s Yr4'!D55="","",'Cash Flow %s Yr4'!D55*'Expenses Summary'!$G8))</f>
        <v>20843.075818200003</v>
      </c>
      <c r="E55" s="64">
        <f>IF('Expenses Summary'!$G8="","",IF('Cash Flow %s Yr4'!E55="","",'Cash Flow %s Yr4'!E55*'Expenses Summary'!$G8))</f>
        <v>20843.075818200003</v>
      </c>
      <c r="F55" s="64">
        <f>IF('Expenses Summary'!$G8="","",IF('Cash Flow %s Yr4'!F55="","",'Cash Flow %s Yr4'!F55*'Expenses Summary'!$G8))</f>
        <v>20843.075818200003</v>
      </c>
      <c r="G55" s="64">
        <f>IF('Expenses Summary'!$G8="","",IF('Cash Flow %s Yr4'!G55="","",'Cash Flow %s Yr4'!G55*'Expenses Summary'!$G8))</f>
        <v>20843.075818200003</v>
      </c>
      <c r="H55" s="64">
        <f>IF('Expenses Summary'!$G8="","",IF('Cash Flow %s Yr4'!H55="","",'Cash Flow %s Yr4'!H55*'Expenses Summary'!$G8))</f>
        <v>20843.075818200003</v>
      </c>
      <c r="I55" s="64">
        <f>IF('Expenses Summary'!$G8="","",IF('Cash Flow %s Yr4'!I55="","",'Cash Flow %s Yr4'!I55*'Expenses Summary'!$G8))</f>
        <v>20843.075818200003</v>
      </c>
      <c r="J55" s="64">
        <f>IF('Expenses Summary'!$G8="","",IF('Cash Flow %s Yr4'!J55="","",'Cash Flow %s Yr4'!J55*'Expenses Summary'!$G8))</f>
        <v>20843.075818200003</v>
      </c>
      <c r="K55" s="64">
        <f>IF('Expenses Summary'!$G8="","",IF('Cash Flow %s Yr4'!K55="","",'Cash Flow %s Yr4'!K55*'Expenses Summary'!$G8))</f>
        <v>20843.075818200003</v>
      </c>
      <c r="L55" s="64">
        <f>IF('Expenses Summary'!$G8="","",IF('Cash Flow %s Yr4'!L55="","",'Cash Flow %s Yr4'!L55*'Expenses Summary'!$G8))</f>
        <v>21094.197213600004</v>
      </c>
      <c r="M55" s="64">
        <f>IF('Expenses Summary'!$G8="","",IF('Cash Flow %s Yr4'!M55="","",'Cash Flow %s Yr4'!M55*'Expenses Summary'!$G8))</f>
        <v>21094.197213600004</v>
      </c>
      <c r="N55" s="64">
        <f>IF('Expenses Summary'!$G8="","",IF('Cash Flow %s Yr4'!N55="","",'Cash Flow %s Yr4'!N55*'Expenses Summary'!$G8))</f>
        <v>21094.197213600004</v>
      </c>
      <c r="O55" s="64">
        <f>IF('Expenses Summary'!$G8="","",IF('Cash Flow %s Yr4'!O55="","",'Cash Flow %s Yr4'!O55*'Expenses Summary'!$G8))</f>
        <v>21094.197213600004</v>
      </c>
      <c r="P55" s="129"/>
      <c r="Q55" s="129"/>
      <c r="R55" s="129"/>
      <c r="S55" s="111">
        <f>IF(SUM(D55:R55)&gt;0,SUM(D55:R55)/'Expenses Summary'!$G8,"")</f>
        <v>1.0000000000000002</v>
      </c>
    </row>
    <row r="56" spans="1:19" x14ac:dyDescent="0.2">
      <c r="A56" s="36"/>
      <c r="B56" s="67" t="str">
        <f>'Expenses Summary'!B9</f>
        <v>1105</v>
      </c>
      <c r="C56" s="67" t="str">
        <f>'Expenses Summary'!C9</f>
        <v>Teachers'  Bonuses</v>
      </c>
      <c r="D56" s="64">
        <f>IF('Expenses Summary'!$G9="","",IF('Cash Flow %s Yr4'!D56="","",'Cash Flow %s Yr4'!D56*'Expenses Summary'!$G9))</f>
        <v>0</v>
      </c>
      <c r="E56" s="64">
        <f>IF('Expenses Summary'!$G9="","",IF('Cash Flow %s Yr4'!E56="","",'Cash Flow %s Yr4'!E56*'Expenses Summary'!$G9))</f>
        <v>0</v>
      </c>
      <c r="F56" s="64">
        <f>IF('Expenses Summary'!$G9="","",IF('Cash Flow %s Yr4'!F56="","",'Cash Flow %s Yr4'!F56*'Expenses Summary'!$G9))</f>
        <v>0</v>
      </c>
      <c r="G56" s="64">
        <f>IF('Expenses Summary'!$G9="","",IF('Cash Flow %s Yr4'!G56="","",'Cash Flow %s Yr4'!G56*'Expenses Summary'!$G9))</f>
        <v>0</v>
      </c>
      <c r="H56" s="64">
        <f>IF('Expenses Summary'!$G9="","",IF('Cash Flow %s Yr4'!H56="","",'Cash Flow %s Yr4'!H56*'Expenses Summary'!$G9))</f>
        <v>0</v>
      </c>
      <c r="I56" s="64">
        <f>IF('Expenses Summary'!$G9="","",IF('Cash Flow %s Yr4'!I56="","",'Cash Flow %s Yr4'!I56*'Expenses Summary'!$G9))</f>
        <v>1500</v>
      </c>
      <c r="J56" s="64">
        <f>IF('Expenses Summary'!$G9="","",IF('Cash Flow %s Yr4'!J56="","",'Cash Flow %s Yr4'!J56*'Expenses Summary'!$G9))</f>
        <v>0</v>
      </c>
      <c r="K56" s="64">
        <f>IF('Expenses Summary'!$G9="","",IF('Cash Flow %s Yr4'!K56="","",'Cash Flow %s Yr4'!K56*'Expenses Summary'!$G9))</f>
        <v>0</v>
      </c>
      <c r="L56" s="64">
        <f>IF('Expenses Summary'!$G9="","",IF('Cash Flow %s Yr4'!L56="","",'Cash Flow %s Yr4'!L56*'Expenses Summary'!$G9))</f>
        <v>0</v>
      </c>
      <c r="M56" s="64">
        <f>IF('Expenses Summary'!$G9="","",IF('Cash Flow %s Yr4'!M56="","",'Cash Flow %s Yr4'!M56*'Expenses Summary'!$G9))</f>
        <v>0</v>
      </c>
      <c r="N56" s="64">
        <f>IF('Expenses Summary'!$G9="","",IF('Cash Flow %s Yr4'!N56="","",'Cash Flow %s Yr4'!N56*'Expenses Summary'!$G9))</f>
        <v>0</v>
      </c>
      <c r="O56" s="64">
        <f>IF('Expenses Summary'!$G9="","",IF('Cash Flow %s Yr4'!O56="","",'Cash Flow %s Yr4'!O56*'Expenses Summary'!$G9))</f>
        <v>0</v>
      </c>
      <c r="P56" s="129"/>
      <c r="Q56" s="129"/>
      <c r="R56" s="129"/>
      <c r="S56" s="111">
        <f>IF(SUM(D56:R56)&gt;0,SUM(D56:R56)/'Expenses Summary'!$G9,"")</f>
        <v>1</v>
      </c>
    </row>
    <row r="57" spans="1:19" x14ac:dyDescent="0.2">
      <c r="A57" s="36"/>
      <c r="B57" s="67" t="str">
        <f>'Expenses Summary'!B10</f>
        <v>1120</v>
      </c>
      <c r="C57" s="67" t="str">
        <f>'Expenses Summary'!C10</f>
        <v>Substitute Expense</v>
      </c>
      <c r="D57" s="64">
        <f>IF('Expenses Summary'!$G10="","",IF('Cash Flow %s Yr4'!D57="","",'Cash Flow %s Yr4'!D57*'Expenses Summary'!$G10))</f>
        <v>0</v>
      </c>
      <c r="E57" s="64">
        <f>IF('Expenses Summary'!$G10="","",IF('Cash Flow %s Yr4'!E57="","",'Cash Flow %s Yr4'!E57*'Expenses Summary'!$G10))</f>
        <v>0</v>
      </c>
      <c r="F57" s="64">
        <f>IF('Expenses Summary'!$G10="","",IF('Cash Flow %s Yr4'!F57="","",'Cash Flow %s Yr4'!F57*'Expenses Summary'!$G10))</f>
        <v>169.74400000000003</v>
      </c>
      <c r="G57" s="64">
        <f>IF('Expenses Summary'!$G10="","",IF('Cash Flow %s Yr4'!G57="","",'Cash Flow %s Yr4'!G57*'Expenses Summary'!$G10))</f>
        <v>169.74400000000003</v>
      </c>
      <c r="H57" s="64">
        <f>IF('Expenses Summary'!$G10="","",IF('Cash Flow %s Yr4'!H57="","",'Cash Flow %s Yr4'!H57*'Expenses Summary'!$G10))</f>
        <v>169.74400000000003</v>
      </c>
      <c r="I57" s="64">
        <f>IF('Expenses Summary'!$G10="","",IF('Cash Flow %s Yr4'!I57="","",'Cash Flow %s Yr4'!I57*'Expenses Summary'!$G10))</f>
        <v>169.74400000000003</v>
      </c>
      <c r="J57" s="64">
        <f>IF('Expenses Summary'!$G10="","",IF('Cash Flow %s Yr4'!J57="","",'Cash Flow %s Yr4'!J57*'Expenses Summary'!$G10))</f>
        <v>169.74400000000003</v>
      </c>
      <c r="K57" s="64">
        <f>IF('Expenses Summary'!$G10="","",IF('Cash Flow %s Yr4'!K57="","",'Cash Flow %s Yr4'!K57*'Expenses Summary'!$G10))</f>
        <v>169.74400000000003</v>
      </c>
      <c r="L57" s="64">
        <f>IF('Expenses Summary'!$G10="","",IF('Cash Flow %s Yr4'!L57="","",'Cash Flow %s Yr4'!L57*'Expenses Summary'!$G10))</f>
        <v>169.74400000000003</v>
      </c>
      <c r="M57" s="64">
        <f>IF('Expenses Summary'!$G10="","",IF('Cash Flow %s Yr4'!M57="","",'Cash Flow %s Yr4'!M57*'Expenses Summary'!$G10))</f>
        <v>169.74400000000003</v>
      </c>
      <c r="N57" s="64">
        <f>IF('Expenses Summary'!$G10="","",IF('Cash Flow %s Yr4'!N57="","",'Cash Flow %s Yr4'!N57*'Expenses Summary'!$G10))</f>
        <v>169.74400000000003</v>
      </c>
      <c r="O57" s="64">
        <f>IF('Expenses Summary'!$G10="","",IF('Cash Flow %s Yr4'!O57="","",'Cash Flow %s Yr4'!O57*'Expenses Summary'!$G10))</f>
        <v>169.74400000000003</v>
      </c>
      <c r="P57" s="129"/>
      <c r="Q57" s="129"/>
      <c r="R57" s="129"/>
      <c r="S57" s="111">
        <f>IF(SUM(D57:R57)&gt;0,SUM(D57:R57)/'Expenses Summary'!$G10,"")</f>
        <v>1.0000000000000002</v>
      </c>
    </row>
    <row r="58" spans="1:19" x14ac:dyDescent="0.2">
      <c r="A58" s="36"/>
      <c r="B58" s="67" t="str">
        <f>'Expenses Summary'!B11</f>
        <v>1200</v>
      </c>
      <c r="C58" s="67" t="str">
        <f>'Expenses Summary'!C11</f>
        <v>Certificated Pupil Support Salaries</v>
      </c>
      <c r="D58" s="64">
        <f>IF('Expenses Summary'!$G11="","",IF('Cash Flow %s Yr4'!D58="","",'Cash Flow %s Yr4'!D58*'Expenses Summary'!$G11))</f>
        <v>0</v>
      </c>
      <c r="E58" s="64">
        <f>IF('Expenses Summary'!$G11="","",IF('Cash Flow %s Yr4'!E58="","",'Cash Flow %s Yr4'!E58*'Expenses Summary'!$G11))</f>
        <v>0</v>
      </c>
      <c r="F58" s="64">
        <f>IF('Expenses Summary'!$G11="","",IF('Cash Flow %s Yr4'!F58="","",'Cash Flow %s Yr4'!F58*'Expenses Summary'!$G11))</f>
        <v>0</v>
      </c>
      <c r="G58" s="64">
        <f>IF('Expenses Summary'!$G11="","",IF('Cash Flow %s Yr4'!G58="","",'Cash Flow %s Yr4'!G58*'Expenses Summary'!$G11))</f>
        <v>0</v>
      </c>
      <c r="H58" s="64">
        <f>IF('Expenses Summary'!$G11="","",IF('Cash Flow %s Yr4'!H58="","",'Cash Flow %s Yr4'!H58*'Expenses Summary'!$G11))</f>
        <v>0</v>
      </c>
      <c r="I58" s="64">
        <f>IF('Expenses Summary'!$G11="","",IF('Cash Flow %s Yr4'!I58="","",'Cash Flow %s Yr4'!I58*'Expenses Summary'!$G11))</f>
        <v>0</v>
      </c>
      <c r="J58" s="64">
        <f>IF('Expenses Summary'!$G11="","",IF('Cash Flow %s Yr4'!J58="","",'Cash Flow %s Yr4'!J58*'Expenses Summary'!$G11))</f>
        <v>0</v>
      </c>
      <c r="K58" s="64">
        <f>IF('Expenses Summary'!$G11="","",IF('Cash Flow %s Yr4'!K58="","",'Cash Flow %s Yr4'!K58*'Expenses Summary'!$G11))</f>
        <v>0</v>
      </c>
      <c r="L58" s="64">
        <f>IF('Expenses Summary'!$G11="","",IF('Cash Flow %s Yr4'!L58="","",'Cash Flow %s Yr4'!L58*'Expenses Summary'!$G11))</f>
        <v>0</v>
      </c>
      <c r="M58" s="64">
        <f>IF('Expenses Summary'!$G11="","",IF('Cash Flow %s Yr4'!M58="","",'Cash Flow %s Yr4'!M58*'Expenses Summary'!$G11))</f>
        <v>0</v>
      </c>
      <c r="N58" s="64">
        <f>IF('Expenses Summary'!$G11="","",IF('Cash Flow %s Yr4'!N58="","",'Cash Flow %s Yr4'!N58*'Expenses Summary'!$G11))</f>
        <v>0</v>
      </c>
      <c r="O58" s="64">
        <f>IF('Expenses Summary'!$G11="","",IF('Cash Flow %s Yr4'!O58="","",'Cash Flow %s Yr4'!O58*'Expenses Summary'!$G11))</f>
        <v>0</v>
      </c>
      <c r="P58" s="129"/>
      <c r="Q58" s="129"/>
      <c r="R58" s="129"/>
      <c r="S58" s="111" t="str">
        <f>IF(SUM(D58:R58)&gt;0,SUM(D58:R58)/'Expenses Summary'!$G11,"")</f>
        <v/>
      </c>
    </row>
    <row r="59" spans="1:19" x14ac:dyDescent="0.2">
      <c r="A59" s="36"/>
      <c r="B59" s="67" t="str">
        <f>'Expenses Summary'!B13</f>
        <v>1300</v>
      </c>
      <c r="C59" s="67" t="str">
        <f>'Expenses Summary'!C13</f>
        <v>Certificated Supervisor and Administrator Salaries</v>
      </c>
      <c r="D59" s="64">
        <f>IF('Expenses Summary'!$G13="","",IF('Cash Flow %s Yr4'!D59="","",'Cash Flow %s Yr4'!D59*'Expenses Summary'!$G13))</f>
        <v>5723.5555000000004</v>
      </c>
      <c r="E59" s="64">
        <f>IF('Expenses Summary'!$G13="","",IF('Cash Flow %s Yr4'!E59="","",'Cash Flow %s Yr4'!E59*'Expenses Summary'!$G13))</f>
        <v>5723.5555000000004</v>
      </c>
      <c r="F59" s="64">
        <f>IF('Expenses Summary'!$G13="","",IF('Cash Flow %s Yr4'!F59="","",'Cash Flow %s Yr4'!F59*'Expenses Summary'!$G13))</f>
        <v>5723.5555000000004</v>
      </c>
      <c r="G59" s="64">
        <f>IF('Expenses Summary'!$G13="","",IF('Cash Flow %s Yr4'!G59="","",'Cash Flow %s Yr4'!G59*'Expenses Summary'!$G13))</f>
        <v>5723.5555000000004</v>
      </c>
      <c r="H59" s="64">
        <f>IF('Expenses Summary'!$G13="","",IF('Cash Flow %s Yr4'!H59="","",'Cash Flow %s Yr4'!H59*'Expenses Summary'!$G13))</f>
        <v>5723.5555000000004</v>
      </c>
      <c r="I59" s="64">
        <f>IF('Expenses Summary'!$G13="","",IF('Cash Flow %s Yr4'!I59="","",'Cash Flow %s Yr4'!I59*'Expenses Summary'!$G13))</f>
        <v>5723.5555000000004</v>
      </c>
      <c r="J59" s="64">
        <f>IF('Expenses Summary'!$G13="","",IF('Cash Flow %s Yr4'!J59="","",'Cash Flow %s Yr4'!J59*'Expenses Summary'!$G13))</f>
        <v>5723.5555000000004</v>
      </c>
      <c r="K59" s="64">
        <f>IF('Expenses Summary'!$G13="","",IF('Cash Flow %s Yr4'!K59="","",'Cash Flow %s Yr4'!K59*'Expenses Summary'!$G13))</f>
        <v>5723.5555000000004</v>
      </c>
      <c r="L59" s="64">
        <f>IF('Expenses Summary'!$G13="","",IF('Cash Flow %s Yr4'!L59="","",'Cash Flow %s Yr4'!L59*'Expenses Summary'!$G13))</f>
        <v>5792.5140000000001</v>
      </c>
      <c r="M59" s="64">
        <f>IF('Expenses Summary'!$G13="","",IF('Cash Flow %s Yr4'!M59="","",'Cash Flow %s Yr4'!M59*'Expenses Summary'!$G13))</f>
        <v>5792.5140000000001</v>
      </c>
      <c r="N59" s="64">
        <f>IF('Expenses Summary'!$G13="","",IF('Cash Flow %s Yr4'!N59="","",'Cash Flow %s Yr4'!N59*'Expenses Summary'!$G13))</f>
        <v>5792.5140000000001</v>
      </c>
      <c r="O59" s="64">
        <f>IF('Expenses Summary'!$G13="","",IF('Cash Flow %s Yr4'!O59="","",'Cash Flow %s Yr4'!O59*'Expenses Summary'!$G13))</f>
        <v>5792.5140000000001</v>
      </c>
      <c r="P59" s="129"/>
      <c r="Q59" s="129"/>
      <c r="R59" s="129"/>
      <c r="S59" s="111">
        <f>IF(SUM(D59:R59)&gt;0,SUM(D59:R59)/'Expenses Summary'!$G13,"")</f>
        <v>1.0000000000000002</v>
      </c>
    </row>
    <row r="60" spans="1:19" x14ac:dyDescent="0.2">
      <c r="A60" s="36"/>
      <c r="B60" s="67" t="str">
        <f>'Expenses Summary'!B14</f>
        <v>1305</v>
      </c>
      <c r="C60" s="67" t="str">
        <f>'Expenses Summary'!C14</f>
        <v>Certificated Supervisor and Administrator Bonuses</v>
      </c>
      <c r="D60" s="64">
        <f>IF('Expenses Summary'!$G14="","",IF('Cash Flow %s Yr4'!D60="","",'Cash Flow %s Yr4'!D60*'Expenses Summary'!$G14))</f>
        <v>0</v>
      </c>
      <c r="E60" s="64">
        <f>IF('Expenses Summary'!$G14="","",IF('Cash Flow %s Yr4'!E60="","",'Cash Flow %s Yr4'!E60*'Expenses Summary'!$G14))</f>
        <v>0</v>
      </c>
      <c r="F60" s="64">
        <f>IF('Expenses Summary'!$G14="","",IF('Cash Flow %s Yr4'!F60="","",'Cash Flow %s Yr4'!F60*'Expenses Summary'!$G14))</f>
        <v>0</v>
      </c>
      <c r="G60" s="64">
        <f>IF('Expenses Summary'!$G14="","",IF('Cash Flow %s Yr4'!G60="","",'Cash Flow %s Yr4'!G60*'Expenses Summary'!$G14))</f>
        <v>0</v>
      </c>
      <c r="H60" s="64">
        <f>IF('Expenses Summary'!$G14="","",IF('Cash Flow %s Yr4'!H60="","",'Cash Flow %s Yr4'!H60*'Expenses Summary'!$G14))</f>
        <v>0</v>
      </c>
      <c r="I60" s="64">
        <f>IF('Expenses Summary'!$G14="","",IF('Cash Flow %s Yr4'!I60="","",'Cash Flow %s Yr4'!I60*'Expenses Summary'!$G14))</f>
        <v>1500</v>
      </c>
      <c r="J60" s="64">
        <f>IF('Expenses Summary'!$G14="","",IF('Cash Flow %s Yr4'!J60="","",'Cash Flow %s Yr4'!J60*'Expenses Summary'!$G14))</f>
        <v>0</v>
      </c>
      <c r="K60" s="64">
        <f>IF('Expenses Summary'!$G14="","",IF('Cash Flow %s Yr4'!K60="","",'Cash Flow %s Yr4'!K60*'Expenses Summary'!$G14))</f>
        <v>0</v>
      </c>
      <c r="L60" s="64">
        <f>IF('Expenses Summary'!$G14="","",IF('Cash Flow %s Yr4'!L60="","",'Cash Flow %s Yr4'!L60*'Expenses Summary'!$G14))</f>
        <v>0</v>
      </c>
      <c r="M60" s="64">
        <f>IF('Expenses Summary'!$G14="","",IF('Cash Flow %s Yr4'!M60="","",'Cash Flow %s Yr4'!M60*'Expenses Summary'!$G14))</f>
        <v>0</v>
      </c>
      <c r="N60" s="64">
        <f>IF('Expenses Summary'!$G14="","",IF('Cash Flow %s Yr4'!N60="","",'Cash Flow %s Yr4'!N60*'Expenses Summary'!$G14))</f>
        <v>0</v>
      </c>
      <c r="O60" s="64">
        <f>IF('Expenses Summary'!$G14="","",IF('Cash Flow %s Yr4'!O60="","",'Cash Flow %s Yr4'!O60*'Expenses Summary'!$G14))</f>
        <v>0</v>
      </c>
      <c r="P60" s="129"/>
      <c r="Q60" s="129"/>
      <c r="R60" s="129"/>
      <c r="S60" s="111">
        <f>IF(SUM(D60:R60)&gt;0,SUM(D60:R60)/'Expenses Summary'!$G14,"")</f>
        <v>1</v>
      </c>
    </row>
    <row r="61" spans="1:19" x14ac:dyDescent="0.2">
      <c r="A61" s="36"/>
      <c r="B61" s="67" t="str">
        <f>'Expenses Summary'!B15</f>
        <v>1900</v>
      </c>
      <c r="C61" s="67" t="str">
        <f>'Expenses Summary'!C15</f>
        <v>Other Certificated Salaries</v>
      </c>
      <c r="D61" s="64">
        <f>IF('Expenses Summary'!$G15="","",IF('Cash Flow %s Yr4'!D61="","",'Cash Flow %s Yr4'!D61*'Expenses Summary'!$G15))</f>
        <v>0</v>
      </c>
      <c r="E61" s="64">
        <f>IF('Expenses Summary'!$G15="","",IF('Cash Flow %s Yr4'!E61="","",'Cash Flow %s Yr4'!E61*'Expenses Summary'!$G15))</f>
        <v>0</v>
      </c>
      <c r="F61" s="64">
        <f>IF('Expenses Summary'!$G15="","",IF('Cash Flow %s Yr4'!F61="","",'Cash Flow %s Yr4'!F61*'Expenses Summary'!$G15))</f>
        <v>0</v>
      </c>
      <c r="G61" s="64">
        <f>IF('Expenses Summary'!$G15="","",IF('Cash Flow %s Yr4'!G61="","",'Cash Flow %s Yr4'!G61*'Expenses Summary'!$G15))</f>
        <v>0</v>
      </c>
      <c r="H61" s="64">
        <f>IF('Expenses Summary'!$G15="","",IF('Cash Flow %s Yr4'!H61="","",'Cash Flow %s Yr4'!H61*'Expenses Summary'!$G15))</f>
        <v>0</v>
      </c>
      <c r="I61" s="64">
        <f>IF('Expenses Summary'!$G15="","",IF('Cash Flow %s Yr4'!I61="","",'Cash Flow %s Yr4'!I61*'Expenses Summary'!$G15))</f>
        <v>0</v>
      </c>
      <c r="J61" s="64">
        <f>IF('Expenses Summary'!$G15="","",IF('Cash Flow %s Yr4'!J61="","",'Cash Flow %s Yr4'!J61*'Expenses Summary'!$G15))</f>
        <v>0</v>
      </c>
      <c r="K61" s="64">
        <f>IF('Expenses Summary'!$G15="","",IF('Cash Flow %s Yr4'!K61="","",'Cash Flow %s Yr4'!K61*'Expenses Summary'!$G15))</f>
        <v>0</v>
      </c>
      <c r="L61" s="64">
        <f>IF('Expenses Summary'!$G15="","",IF('Cash Flow %s Yr4'!L61="","",'Cash Flow %s Yr4'!L61*'Expenses Summary'!$G15))</f>
        <v>0</v>
      </c>
      <c r="M61" s="64">
        <f>IF('Expenses Summary'!$G15="","",IF('Cash Flow %s Yr4'!M61="","",'Cash Flow %s Yr4'!M61*'Expenses Summary'!$G15))</f>
        <v>0</v>
      </c>
      <c r="N61" s="64">
        <f>IF('Expenses Summary'!$G15="","",IF('Cash Flow %s Yr4'!N61="","",'Cash Flow %s Yr4'!N61*'Expenses Summary'!$G15))</f>
        <v>0</v>
      </c>
      <c r="O61" s="64">
        <f>IF('Expenses Summary'!$G15="","",IF('Cash Flow %s Yr4'!O61="","",'Cash Flow %s Yr4'!O61*'Expenses Summary'!$G15))</f>
        <v>0</v>
      </c>
      <c r="P61" s="129"/>
      <c r="Q61" s="129"/>
      <c r="R61" s="129"/>
      <c r="S61" s="111" t="str">
        <f>IF(SUM(D61:R61)&gt;0,SUM(D61:R61)/'Expenses Summary'!$G15,"")</f>
        <v/>
      </c>
    </row>
    <row r="62" spans="1:19" x14ac:dyDescent="0.2">
      <c r="A62" s="36"/>
      <c r="B62" s="67" t="str">
        <f>'Expenses Summary'!B16</f>
        <v>1910</v>
      </c>
      <c r="C62" s="67" t="str">
        <f>'Expenses Summary'!C16</f>
        <v>Other Certificated Overtime</v>
      </c>
      <c r="D62" s="64">
        <f>IF('Expenses Summary'!$G16="","",IF('Cash Flow %s Yr4'!D62="","",'Cash Flow %s Yr4'!D62*'Expenses Summary'!$G16))</f>
        <v>0</v>
      </c>
      <c r="E62" s="64">
        <f>IF('Expenses Summary'!$G16="","",IF('Cash Flow %s Yr4'!E62="","",'Cash Flow %s Yr4'!E62*'Expenses Summary'!$G16))</f>
        <v>0</v>
      </c>
      <c r="F62" s="64">
        <f>IF('Expenses Summary'!$G16="","",IF('Cash Flow %s Yr4'!F62="","",'Cash Flow %s Yr4'!F62*'Expenses Summary'!$G16))</f>
        <v>0</v>
      </c>
      <c r="G62" s="64">
        <f>IF('Expenses Summary'!$G16="","",IF('Cash Flow %s Yr4'!G62="","",'Cash Flow %s Yr4'!G62*'Expenses Summary'!$G16))</f>
        <v>0</v>
      </c>
      <c r="H62" s="64">
        <f>IF('Expenses Summary'!$G16="","",IF('Cash Flow %s Yr4'!H62="","",'Cash Flow %s Yr4'!H62*'Expenses Summary'!$G16))</f>
        <v>0</v>
      </c>
      <c r="I62" s="64">
        <f>IF('Expenses Summary'!$G16="","",IF('Cash Flow %s Yr4'!I62="","",'Cash Flow %s Yr4'!I62*'Expenses Summary'!$G16))</f>
        <v>0</v>
      </c>
      <c r="J62" s="64">
        <f>IF('Expenses Summary'!$G16="","",IF('Cash Flow %s Yr4'!J62="","",'Cash Flow %s Yr4'!J62*'Expenses Summary'!$G16))</f>
        <v>0</v>
      </c>
      <c r="K62" s="64">
        <f>IF('Expenses Summary'!$G16="","",IF('Cash Flow %s Yr4'!K62="","",'Cash Flow %s Yr4'!K62*'Expenses Summary'!$G16))</f>
        <v>0</v>
      </c>
      <c r="L62" s="64">
        <f>IF('Expenses Summary'!$G16="","",IF('Cash Flow %s Yr4'!L62="","",'Cash Flow %s Yr4'!L62*'Expenses Summary'!$G16))</f>
        <v>0</v>
      </c>
      <c r="M62" s="64">
        <f>IF('Expenses Summary'!$G16="","",IF('Cash Flow %s Yr4'!M62="","",'Cash Flow %s Yr4'!M62*'Expenses Summary'!$G16))</f>
        <v>0</v>
      </c>
      <c r="N62" s="64">
        <f>IF('Expenses Summary'!$G16="","",IF('Cash Flow %s Yr4'!N62="","",'Cash Flow %s Yr4'!N62*'Expenses Summary'!$G16))</f>
        <v>0</v>
      </c>
      <c r="O62" s="64">
        <f>IF('Expenses Summary'!$G16="","",IF('Cash Flow %s Yr4'!O62="","",'Cash Flow %s Yr4'!O62*'Expenses Summary'!$G16))</f>
        <v>0</v>
      </c>
      <c r="P62" s="129"/>
      <c r="Q62" s="129"/>
      <c r="R62" s="129"/>
      <c r="S62" s="111" t="str">
        <f>IF(SUM(D62:R62)&gt;0,SUM(D62:R62)/'Expenses Summary'!$G16,"")</f>
        <v/>
      </c>
    </row>
    <row r="63" spans="1:19" x14ac:dyDescent="0.2">
      <c r="A63" s="36"/>
      <c r="B63" s="36" t="s">
        <v>555</v>
      </c>
      <c r="C63" s="34" t="s">
        <v>721</v>
      </c>
      <c r="D63" s="172">
        <f t="shared" ref="D63:I63" si="4">IF(SUM(D54:D62)&gt;0,SUM(D54:D62),"")</f>
        <v>26566.631318200001</v>
      </c>
      <c r="E63" s="172">
        <f t="shared" si="4"/>
        <v>26566.631318200001</v>
      </c>
      <c r="F63" s="172">
        <f t="shared" si="4"/>
        <v>26736.3753182</v>
      </c>
      <c r="G63" s="172">
        <f t="shared" si="4"/>
        <v>26736.3753182</v>
      </c>
      <c r="H63" s="172">
        <f t="shared" si="4"/>
        <v>26736.3753182</v>
      </c>
      <c r="I63" s="172">
        <f t="shared" si="4"/>
        <v>29736.3753182</v>
      </c>
      <c r="J63" s="172">
        <f t="shared" ref="J63:O63" si="5">IF(SUM(J54:J62)&gt;0,SUM(J54:J62),"")</f>
        <v>26736.3753182</v>
      </c>
      <c r="K63" s="172">
        <f t="shared" si="5"/>
        <v>26736.3753182</v>
      </c>
      <c r="L63" s="172">
        <f t="shared" si="5"/>
        <v>27056.455213600002</v>
      </c>
      <c r="M63" s="172">
        <f t="shared" si="5"/>
        <v>27056.455213600002</v>
      </c>
      <c r="N63" s="172">
        <f t="shared" si="5"/>
        <v>27056.455213600002</v>
      </c>
      <c r="O63" s="172">
        <f t="shared" si="5"/>
        <v>27056.455213600002</v>
      </c>
      <c r="P63" s="127"/>
      <c r="Q63" s="127"/>
      <c r="R63" s="127"/>
      <c r="S63" s="107"/>
    </row>
    <row r="64" spans="1:19" s="31" customFormat="1" x14ac:dyDescent="0.2">
      <c r="A64" s="36"/>
      <c r="B64" s="40"/>
      <c r="C64" s="3"/>
      <c r="D64" s="130"/>
      <c r="E64" s="130"/>
      <c r="F64" s="130"/>
      <c r="G64" s="130"/>
      <c r="H64" s="130"/>
      <c r="I64" s="130"/>
      <c r="J64" s="130"/>
      <c r="K64" s="130"/>
      <c r="L64" s="130"/>
      <c r="M64" s="130"/>
      <c r="N64" s="130"/>
      <c r="O64" s="130"/>
      <c r="P64" s="130"/>
      <c r="Q64" s="130"/>
      <c r="R64" s="130"/>
    </row>
    <row r="65" spans="1:19" s="31" customFormat="1" x14ac:dyDescent="0.2">
      <c r="B65" s="5" t="s">
        <v>734</v>
      </c>
      <c r="C65" s="3"/>
      <c r="D65" s="130"/>
      <c r="E65" s="130"/>
      <c r="F65" s="130"/>
      <c r="G65" s="130"/>
      <c r="H65" s="130"/>
      <c r="I65" s="130"/>
      <c r="J65" s="130"/>
      <c r="K65" s="130"/>
      <c r="L65" s="130"/>
      <c r="M65" s="130"/>
      <c r="N65" s="130"/>
      <c r="O65" s="130"/>
      <c r="P65" s="130"/>
      <c r="Q65" s="130"/>
      <c r="R65" s="130"/>
    </row>
    <row r="66" spans="1:19" s="31" customFormat="1" x14ac:dyDescent="0.2">
      <c r="A66" s="36"/>
      <c r="B66" s="67" t="str">
        <f>'Expenses Summary'!B20</f>
        <v>2100</v>
      </c>
      <c r="C66" s="67" t="str">
        <f>'Expenses Summary'!C20</f>
        <v>Instructional Aide Salaries</v>
      </c>
      <c r="D66" s="64">
        <f>IF('Expenses Summary'!$G20="","",IF('Cash Flow %s Yr4'!D66="","",'Cash Flow %s Yr4'!D66*'Expenses Summary'!$G20))</f>
        <v>0</v>
      </c>
      <c r="E66" s="64">
        <f>IF('Expenses Summary'!$G20="","",IF('Cash Flow %s Yr4'!E66="","",'Cash Flow %s Yr4'!E66*'Expenses Summary'!$G20))</f>
        <v>0</v>
      </c>
      <c r="F66" s="64">
        <f>IF('Expenses Summary'!$G20="","",IF('Cash Flow %s Yr4'!F66="","",'Cash Flow %s Yr4'!F66*'Expenses Summary'!$G20))</f>
        <v>9518.3948</v>
      </c>
      <c r="G66" s="64">
        <f>IF('Expenses Summary'!$G20="","",IF('Cash Flow %s Yr4'!G66="","",'Cash Flow %s Yr4'!G66*'Expenses Summary'!$G20))</f>
        <v>9518.3948</v>
      </c>
      <c r="H66" s="64">
        <f>IF('Expenses Summary'!$G20="","",IF('Cash Flow %s Yr4'!H66="","",'Cash Flow %s Yr4'!H66*'Expenses Summary'!$G20))</f>
        <v>9518.3948</v>
      </c>
      <c r="I66" s="64">
        <f>IF('Expenses Summary'!$G20="","",IF('Cash Flow %s Yr4'!I66="","",'Cash Flow %s Yr4'!I66*'Expenses Summary'!$G20))</f>
        <v>9518.3948</v>
      </c>
      <c r="J66" s="64">
        <f>IF('Expenses Summary'!$G20="","",IF('Cash Flow %s Yr4'!J66="","",'Cash Flow %s Yr4'!J66*'Expenses Summary'!$G20))</f>
        <v>9518.3948</v>
      </c>
      <c r="K66" s="64">
        <f>IF('Expenses Summary'!$G20="","",IF('Cash Flow %s Yr4'!K66="","",'Cash Flow %s Yr4'!K66*'Expenses Summary'!$G20))</f>
        <v>9518.3948</v>
      </c>
      <c r="L66" s="64">
        <f>IF('Expenses Summary'!$G20="","",IF('Cash Flow %s Yr4'!L66="","",'Cash Flow %s Yr4'!L66*'Expenses Summary'!$G20))</f>
        <v>9518.3948</v>
      </c>
      <c r="M66" s="64">
        <f>IF('Expenses Summary'!$G20="","",IF('Cash Flow %s Yr4'!M66="","",'Cash Flow %s Yr4'!M66*'Expenses Summary'!$G20))</f>
        <v>9518.3948</v>
      </c>
      <c r="N66" s="64">
        <f>IF('Expenses Summary'!$G20="","",IF('Cash Flow %s Yr4'!N66="","",'Cash Flow %s Yr4'!N66*'Expenses Summary'!$G20))</f>
        <v>9518.3948</v>
      </c>
      <c r="O66" s="64">
        <f>IF('Expenses Summary'!$G20="","",IF('Cash Flow %s Yr4'!O66="","",'Cash Flow %s Yr4'!O66*'Expenses Summary'!$G20))</f>
        <v>9518.3948</v>
      </c>
      <c r="P66" s="129"/>
      <c r="Q66" s="129"/>
      <c r="R66" s="129"/>
      <c r="S66" s="111">
        <f>IF(SUM(D66:R66)&gt;0,SUM(D66:R66)/'Expenses Summary'!$G20,"")</f>
        <v>0.99999999999999989</v>
      </c>
    </row>
    <row r="67" spans="1:19" s="31" customFormat="1" x14ac:dyDescent="0.2">
      <c r="A67" s="36"/>
      <c r="B67" s="67" t="str">
        <f>'Expenses Summary'!B21</f>
        <v>2110</v>
      </c>
      <c r="C67" s="67" t="str">
        <f>'Expenses Summary'!C21</f>
        <v>Instructional Aide Overtime</v>
      </c>
      <c r="D67" s="64">
        <f>IF('Expenses Summary'!$G21="","",IF('Cash Flow %s Yr4'!D67="","",'Cash Flow %s Yr4'!D67*'Expenses Summary'!$G21))</f>
        <v>0</v>
      </c>
      <c r="E67" s="64">
        <f>IF('Expenses Summary'!$G21="","",IF('Cash Flow %s Yr4'!E67="","",'Cash Flow %s Yr4'!E67*'Expenses Summary'!$G21))</f>
        <v>0</v>
      </c>
      <c r="F67" s="64">
        <f>IF('Expenses Summary'!$G21="","",IF('Cash Flow %s Yr4'!F67="","",'Cash Flow %s Yr4'!F67*'Expenses Summary'!$G21))</f>
        <v>0</v>
      </c>
      <c r="G67" s="64">
        <f>IF('Expenses Summary'!$G21="","",IF('Cash Flow %s Yr4'!G67="","",'Cash Flow %s Yr4'!G67*'Expenses Summary'!$G21))</f>
        <v>0</v>
      </c>
      <c r="H67" s="64">
        <f>IF('Expenses Summary'!$G21="","",IF('Cash Flow %s Yr4'!H67="","",'Cash Flow %s Yr4'!H67*'Expenses Summary'!$G21))</f>
        <v>0</v>
      </c>
      <c r="I67" s="64">
        <f>IF('Expenses Summary'!$G21="","",IF('Cash Flow %s Yr4'!I67="","",'Cash Flow %s Yr4'!I67*'Expenses Summary'!$G21))</f>
        <v>0</v>
      </c>
      <c r="J67" s="64">
        <f>IF('Expenses Summary'!$G21="","",IF('Cash Flow %s Yr4'!J67="","",'Cash Flow %s Yr4'!J67*'Expenses Summary'!$G21))</f>
        <v>0</v>
      </c>
      <c r="K67" s="64">
        <f>IF('Expenses Summary'!$G21="","",IF('Cash Flow %s Yr4'!K67="","",'Cash Flow %s Yr4'!K67*'Expenses Summary'!$G21))</f>
        <v>0</v>
      </c>
      <c r="L67" s="64">
        <f>IF('Expenses Summary'!$G21="","",IF('Cash Flow %s Yr4'!L67="","",'Cash Flow %s Yr4'!L67*'Expenses Summary'!$G21))</f>
        <v>0</v>
      </c>
      <c r="M67" s="64">
        <f>IF('Expenses Summary'!$G21="","",IF('Cash Flow %s Yr4'!M67="","",'Cash Flow %s Yr4'!M67*'Expenses Summary'!$G21))</f>
        <v>0</v>
      </c>
      <c r="N67" s="64">
        <f>IF('Expenses Summary'!$G21="","",IF('Cash Flow %s Yr4'!N67="","",'Cash Flow %s Yr4'!N67*'Expenses Summary'!$G21))</f>
        <v>0</v>
      </c>
      <c r="O67" s="64">
        <f>IF('Expenses Summary'!$G21="","",IF('Cash Flow %s Yr4'!O67="","",'Cash Flow %s Yr4'!O67*'Expenses Summary'!$G21))</f>
        <v>0</v>
      </c>
      <c r="P67" s="129"/>
      <c r="Q67" s="129"/>
      <c r="R67" s="129"/>
      <c r="S67" s="111" t="str">
        <f>IF(SUM(D67:R67)&gt;0,SUM(D67:R67)/'Expenses Summary'!$G21,"")</f>
        <v/>
      </c>
    </row>
    <row r="68" spans="1:19" s="31" customFormat="1" x14ac:dyDescent="0.2">
      <c r="A68" s="36"/>
      <c r="B68" s="67" t="str">
        <f>'Expenses Summary'!B22</f>
        <v>2200</v>
      </c>
      <c r="C68" s="67" t="str">
        <f>'Expenses Summary'!C22</f>
        <v>Classified Support Salaries</v>
      </c>
      <c r="D68" s="64">
        <f>IF('Expenses Summary'!$G22="","",IF('Cash Flow %s Yr4'!D68="","",'Cash Flow %s Yr4'!D68*'Expenses Summary'!$G22))</f>
        <v>0</v>
      </c>
      <c r="E68" s="64">
        <f>IF('Expenses Summary'!$G22="","",IF('Cash Flow %s Yr4'!E68="","",'Cash Flow %s Yr4'!E68*'Expenses Summary'!$G22))</f>
        <v>0</v>
      </c>
      <c r="F68" s="64">
        <f>IF('Expenses Summary'!$G22="","",IF('Cash Flow %s Yr4'!F68="","",'Cash Flow %s Yr4'!F68*'Expenses Summary'!$G22))</f>
        <v>0</v>
      </c>
      <c r="G68" s="64">
        <f>IF('Expenses Summary'!$G22="","",IF('Cash Flow %s Yr4'!G68="","",'Cash Flow %s Yr4'!G68*'Expenses Summary'!$G22))</f>
        <v>0</v>
      </c>
      <c r="H68" s="64">
        <f>IF('Expenses Summary'!$G22="","",IF('Cash Flow %s Yr4'!H68="","",'Cash Flow %s Yr4'!H68*'Expenses Summary'!$G22))</f>
        <v>0</v>
      </c>
      <c r="I68" s="64">
        <f>IF('Expenses Summary'!$G22="","",IF('Cash Flow %s Yr4'!I68="","",'Cash Flow %s Yr4'!I68*'Expenses Summary'!$G22))</f>
        <v>0</v>
      </c>
      <c r="J68" s="64">
        <f>IF('Expenses Summary'!$G22="","",IF('Cash Flow %s Yr4'!J68="","",'Cash Flow %s Yr4'!J68*'Expenses Summary'!$G22))</f>
        <v>0</v>
      </c>
      <c r="K68" s="64">
        <f>IF('Expenses Summary'!$G22="","",IF('Cash Flow %s Yr4'!K68="","",'Cash Flow %s Yr4'!K68*'Expenses Summary'!$G22))</f>
        <v>0</v>
      </c>
      <c r="L68" s="64">
        <f>IF('Expenses Summary'!$G22="","",IF('Cash Flow %s Yr4'!L68="","",'Cash Flow %s Yr4'!L68*'Expenses Summary'!$G22))</f>
        <v>0</v>
      </c>
      <c r="M68" s="64">
        <f>IF('Expenses Summary'!$G22="","",IF('Cash Flow %s Yr4'!M68="","",'Cash Flow %s Yr4'!M68*'Expenses Summary'!$G22))</f>
        <v>0</v>
      </c>
      <c r="N68" s="64">
        <f>IF('Expenses Summary'!$G22="","",IF('Cash Flow %s Yr4'!N68="","",'Cash Flow %s Yr4'!N68*'Expenses Summary'!$G22))</f>
        <v>0</v>
      </c>
      <c r="O68" s="64">
        <f>IF('Expenses Summary'!$G22="","",IF('Cash Flow %s Yr4'!O68="","",'Cash Flow %s Yr4'!O68*'Expenses Summary'!$G22))</f>
        <v>0</v>
      </c>
      <c r="P68" s="129"/>
      <c r="Q68" s="129"/>
      <c r="R68" s="129"/>
      <c r="S68" s="111" t="str">
        <f>IF(SUM(D68:R68)&gt;0,SUM(D68:R68)/'Expenses Summary'!$G22,"")</f>
        <v/>
      </c>
    </row>
    <row r="69" spans="1:19" s="31" customFormat="1" x14ac:dyDescent="0.2">
      <c r="A69" s="36"/>
      <c r="B69" s="67" t="str">
        <f>'Expenses Summary'!B23</f>
        <v>2210</v>
      </c>
      <c r="C69" s="67" t="str">
        <f>'Expenses Summary'!C23</f>
        <v>Classified Support Overtime</v>
      </c>
      <c r="D69" s="64">
        <f>IF('Expenses Summary'!$G23="","",IF('Cash Flow %s Yr4'!D69="","",'Cash Flow %s Yr4'!D69*'Expenses Summary'!$G23))</f>
        <v>0</v>
      </c>
      <c r="E69" s="64">
        <f>IF('Expenses Summary'!$G23="","",IF('Cash Flow %s Yr4'!E69="","",'Cash Flow %s Yr4'!E69*'Expenses Summary'!$G23))</f>
        <v>0</v>
      </c>
      <c r="F69" s="64">
        <f>IF('Expenses Summary'!$G23="","",IF('Cash Flow %s Yr4'!F69="","",'Cash Flow %s Yr4'!F69*'Expenses Summary'!$G23))</f>
        <v>0</v>
      </c>
      <c r="G69" s="64">
        <f>IF('Expenses Summary'!$G23="","",IF('Cash Flow %s Yr4'!G69="","",'Cash Flow %s Yr4'!G69*'Expenses Summary'!$G23))</f>
        <v>0</v>
      </c>
      <c r="H69" s="64">
        <f>IF('Expenses Summary'!$G23="","",IF('Cash Flow %s Yr4'!H69="","",'Cash Flow %s Yr4'!H69*'Expenses Summary'!$G23))</f>
        <v>0</v>
      </c>
      <c r="I69" s="64">
        <f>IF('Expenses Summary'!$G23="","",IF('Cash Flow %s Yr4'!I69="","",'Cash Flow %s Yr4'!I69*'Expenses Summary'!$G23))</f>
        <v>0</v>
      </c>
      <c r="J69" s="64">
        <f>IF('Expenses Summary'!$G23="","",IF('Cash Flow %s Yr4'!J69="","",'Cash Flow %s Yr4'!J69*'Expenses Summary'!$G23))</f>
        <v>0</v>
      </c>
      <c r="K69" s="64">
        <f>IF('Expenses Summary'!$G23="","",IF('Cash Flow %s Yr4'!K69="","",'Cash Flow %s Yr4'!K69*'Expenses Summary'!$G23))</f>
        <v>0</v>
      </c>
      <c r="L69" s="64">
        <f>IF('Expenses Summary'!$G23="","",IF('Cash Flow %s Yr4'!L69="","",'Cash Flow %s Yr4'!L69*'Expenses Summary'!$G23))</f>
        <v>0</v>
      </c>
      <c r="M69" s="64">
        <f>IF('Expenses Summary'!$G23="","",IF('Cash Flow %s Yr4'!M69="","",'Cash Flow %s Yr4'!M69*'Expenses Summary'!$G23))</f>
        <v>0</v>
      </c>
      <c r="N69" s="64">
        <f>IF('Expenses Summary'!$G23="","",IF('Cash Flow %s Yr4'!N69="","",'Cash Flow %s Yr4'!N69*'Expenses Summary'!$G23))</f>
        <v>0</v>
      </c>
      <c r="O69" s="64">
        <f>IF('Expenses Summary'!$G23="","",IF('Cash Flow %s Yr4'!O69="","",'Cash Flow %s Yr4'!O69*'Expenses Summary'!$G23))</f>
        <v>0</v>
      </c>
      <c r="P69" s="129"/>
      <c r="Q69" s="129"/>
      <c r="R69" s="129"/>
      <c r="S69" s="111" t="str">
        <f>IF(SUM(D69:R69)&gt;0,SUM(D69:R69)/'Expenses Summary'!$G23,"")</f>
        <v/>
      </c>
    </row>
    <row r="70" spans="1:19" s="31" customFormat="1" x14ac:dyDescent="0.2">
      <c r="A70" s="36"/>
      <c r="B70" s="67" t="str">
        <f>'Expenses Summary'!B24</f>
        <v>2300</v>
      </c>
      <c r="C70" s="67" t="str">
        <f>'Expenses Summary'!C24</f>
        <v>Classified Supervisor and Administrator Salaries</v>
      </c>
      <c r="D70" s="64">
        <f>IF('Expenses Summary'!$G24="","",IF('Cash Flow %s Yr4'!D70="","",'Cash Flow %s Yr4'!D70*'Expenses Summary'!$G24))</f>
        <v>0</v>
      </c>
      <c r="E70" s="64">
        <f>IF('Expenses Summary'!$G24="","",IF('Cash Flow %s Yr4'!E70="","",'Cash Flow %s Yr4'!E70*'Expenses Summary'!$G24))</f>
        <v>0</v>
      </c>
      <c r="F70" s="64">
        <f>IF('Expenses Summary'!$G24="","",IF('Cash Flow %s Yr4'!F70="","",'Cash Flow %s Yr4'!F70*'Expenses Summary'!$G24))</f>
        <v>0</v>
      </c>
      <c r="G70" s="64">
        <f>IF('Expenses Summary'!$G24="","",IF('Cash Flow %s Yr4'!G70="","",'Cash Flow %s Yr4'!G70*'Expenses Summary'!$G24))</f>
        <v>0</v>
      </c>
      <c r="H70" s="64">
        <f>IF('Expenses Summary'!$G24="","",IF('Cash Flow %s Yr4'!H70="","",'Cash Flow %s Yr4'!H70*'Expenses Summary'!$G24))</f>
        <v>0</v>
      </c>
      <c r="I70" s="64">
        <f>IF('Expenses Summary'!$G24="","",IF('Cash Flow %s Yr4'!I70="","",'Cash Flow %s Yr4'!I70*'Expenses Summary'!$G24))</f>
        <v>0</v>
      </c>
      <c r="J70" s="64">
        <f>IF('Expenses Summary'!$G24="","",IF('Cash Flow %s Yr4'!J70="","",'Cash Flow %s Yr4'!J70*'Expenses Summary'!$G24))</f>
        <v>0</v>
      </c>
      <c r="K70" s="64">
        <f>IF('Expenses Summary'!$G24="","",IF('Cash Flow %s Yr4'!K70="","",'Cash Flow %s Yr4'!K70*'Expenses Summary'!$G24))</f>
        <v>0</v>
      </c>
      <c r="L70" s="64">
        <f>IF('Expenses Summary'!$G24="","",IF('Cash Flow %s Yr4'!L70="","",'Cash Flow %s Yr4'!L70*'Expenses Summary'!$G24))</f>
        <v>0</v>
      </c>
      <c r="M70" s="64">
        <f>IF('Expenses Summary'!$G24="","",IF('Cash Flow %s Yr4'!M70="","",'Cash Flow %s Yr4'!M70*'Expenses Summary'!$G24))</f>
        <v>0</v>
      </c>
      <c r="N70" s="64">
        <f>IF('Expenses Summary'!$G24="","",IF('Cash Flow %s Yr4'!N70="","",'Cash Flow %s Yr4'!N70*'Expenses Summary'!$G24))</f>
        <v>0</v>
      </c>
      <c r="O70" s="64">
        <f>IF('Expenses Summary'!$G24="","",IF('Cash Flow %s Yr4'!O70="","",'Cash Flow %s Yr4'!O70*'Expenses Summary'!$G24))</f>
        <v>0</v>
      </c>
      <c r="P70" s="129"/>
      <c r="Q70" s="129"/>
      <c r="R70" s="129"/>
      <c r="S70" s="111" t="str">
        <f>IF(SUM(D70:R70)&gt;0,SUM(D70:R70)/'Expenses Summary'!$G24,"")</f>
        <v/>
      </c>
    </row>
    <row r="71" spans="1:19" s="31" customFormat="1" x14ac:dyDescent="0.2">
      <c r="A71" s="36"/>
      <c r="B71" s="67" t="str">
        <f>'Expenses Summary'!B25</f>
        <v>2400</v>
      </c>
      <c r="C71" s="67" t="str">
        <f>'Expenses Summary'!C25</f>
        <v>Clerical, Technical, and Office Staff Salaries</v>
      </c>
      <c r="D71" s="64">
        <f>IF('Expenses Summary'!$G25="","",IF('Cash Flow %s Yr4'!D71="","",'Cash Flow %s Yr4'!D71*'Expenses Summary'!$G25))</f>
        <v>0</v>
      </c>
      <c r="E71" s="64">
        <f>IF('Expenses Summary'!$G25="","",IF('Cash Flow %s Yr4'!E71="","",'Cash Flow %s Yr4'!E71*'Expenses Summary'!$G25))</f>
        <v>0</v>
      </c>
      <c r="F71" s="64">
        <f>IF('Expenses Summary'!$G25="","",IF('Cash Flow %s Yr4'!F71="","",'Cash Flow %s Yr4'!F71*'Expenses Summary'!$G25))</f>
        <v>1973.2740000000003</v>
      </c>
      <c r="G71" s="64">
        <f>IF('Expenses Summary'!$G25="","",IF('Cash Flow %s Yr4'!G71="","",'Cash Flow %s Yr4'!G71*'Expenses Summary'!$G25))</f>
        <v>1973.2740000000003</v>
      </c>
      <c r="H71" s="64">
        <f>IF('Expenses Summary'!$G25="","",IF('Cash Flow %s Yr4'!H71="","",'Cash Flow %s Yr4'!H71*'Expenses Summary'!$G25))</f>
        <v>1973.2740000000003</v>
      </c>
      <c r="I71" s="64">
        <f>IF('Expenses Summary'!$G25="","",IF('Cash Flow %s Yr4'!I71="","",'Cash Flow %s Yr4'!I71*'Expenses Summary'!$G25))</f>
        <v>1973.2740000000003</v>
      </c>
      <c r="J71" s="64">
        <f>IF('Expenses Summary'!$G25="","",IF('Cash Flow %s Yr4'!J71="","",'Cash Flow %s Yr4'!J71*'Expenses Summary'!$G25))</f>
        <v>1973.2740000000003</v>
      </c>
      <c r="K71" s="64">
        <f>IF('Expenses Summary'!$G25="","",IF('Cash Flow %s Yr4'!K71="","",'Cash Flow %s Yr4'!K71*'Expenses Summary'!$G25))</f>
        <v>1973.2740000000003</v>
      </c>
      <c r="L71" s="64">
        <f>IF('Expenses Summary'!$G25="","",IF('Cash Flow %s Yr4'!L71="","",'Cash Flow %s Yr4'!L71*'Expenses Summary'!$G25))</f>
        <v>1973.2740000000003</v>
      </c>
      <c r="M71" s="64">
        <f>IF('Expenses Summary'!$G25="","",IF('Cash Flow %s Yr4'!M71="","",'Cash Flow %s Yr4'!M71*'Expenses Summary'!$G25))</f>
        <v>1973.2740000000003</v>
      </c>
      <c r="N71" s="64">
        <f>IF('Expenses Summary'!$G25="","",IF('Cash Flow %s Yr4'!N71="","",'Cash Flow %s Yr4'!N71*'Expenses Summary'!$G25))</f>
        <v>1973.2740000000003</v>
      </c>
      <c r="O71" s="64">
        <f>IF('Expenses Summary'!$G25="","",IF('Cash Flow %s Yr4'!O71="","",'Cash Flow %s Yr4'!O71*'Expenses Summary'!$G25))</f>
        <v>1973.2740000000003</v>
      </c>
      <c r="P71" s="129"/>
      <c r="Q71" s="129"/>
      <c r="R71" s="129"/>
      <c r="S71" s="111">
        <f>IF(SUM(D71:R71)&gt;0,SUM(D71:R71)/'Expenses Summary'!$G25,"")</f>
        <v>1.0000000000000004</v>
      </c>
    </row>
    <row r="72" spans="1:19" s="31" customFormat="1" x14ac:dyDescent="0.2">
      <c r="A72" s="36"/>
      <c r="B72" s="67" t="str">
        <f>'Expenses Summary'!B26</f>
        <v>2410</v>
      </c>
      <c r="C72" s="67" t="str">
        <f>'Expenses Summary'!C26</f>
        <v>Clerical, Technical, and Office Staff Overtime</v>
      </c>
      <c r="D72" s="64">
        <f>IF('Expenses Summary'!$G26="","",IF('Cash Flow %s Yr4'!D72="","",'Cash Flow %s Yr4'!D72*'Expenses Summary'!$G26))</f>
        <v>0</v>
      </c>
      <c r="E72" s="64">
        <f>IF('Expenses Summary'!$G26="","",IF('Cash Flow %s Yr4'!E72="","",'Cash Flow %s Yr4'!E72*'Expenses Summary'!$G26))</f>
        <v>0</v>
      </c>
      <c r="F72" s="64">
        <f>IF('Expenses Summary'!$G26="","",IF('Cash Flow %s Yr4'!F72="","",'Cash Flow %s Yr4'!F72*'Expenses Summary'!$G26))</f>
        <v>0</v>
      </c>
      <c r="G72" s="64">
        <f>IF('Expenses Summary'!$G26="","",IF('Cash Flow %s Yr4'!G72="","",'Cash Flow %s Yr4'!G72*'Expenses Summary'!$G26))</f>
        <v>0</v>
      </c>
      <c r="H72" s="64">
        <f>IF('Expenses Summary'!$G26="","",IF('Cash Flow %s Yr4'!H72="","",'Cash Flow %s Yr4'!H72*'Expenses Summary'!$G26))</f>
        <v>0</v>
      </c>
      <c r="I72" s="64">
        <f>IF('Expenses Summary'!$G26="","",IF('Cash Flow %s Yr4'!I72="","",'Cash Flow %s Yr4'!I72*'Expenses Summary'!$G26))</f>
        <v>0</v>
      </c>
      <c r="J72" s="64">
        <f>IF('Expenses Summary'!$G26="","",IF('Cash Flow %s Yr4'!J72="","",'Cash Flow %s Yr4'!J72*'Expenses Summary'!$G26))</f>
        <v>0</v>
      </c>
      <c r="K72" s="64">
        <f>IF('Expenses Summary'!$G26="","",IF('Cash Flow %s Yr4'!K72="","",'Cash Flow %s Yr4'!K72*'Expenses Summary'!$G26))</f>
        <v>0</v>
      </c>
      <c r="L72" s="64">
        <f>IF('Expenses Summary'!$G26="","",IF('Cash Flow %s Yr4'!L72="","",'Cash Flow %s Yr4'!L72*'Expenses Summary'!$G26))</f>
        <v>0</v>
      </c>
      <c r="M72" s="64">
        <f>IF('Expenses Summary'!$G26="","",IF('Cash Flow %s Yr4'!M72="","",'Cash Flow %s Yr4'!M72*'Expenses Summary'!$G26))</f>
        <v>0</v>
      </c>
      <c r="N72" s="64">
        <f>IF('Expenses Summary'!$G26="","",IF('Cash Flow %s Yr4'!N72="","",'Cash Flow %s Yr4'!N72*'Expenses Summary'!$G26))</f>
        <v>0</v>
      </c>
      <c r="O72" s="64">
        <f>IF('Expenses Summary'!$G26="","",IF('Cash Flow %s Yr4'!O72="","",'Cash Flow %s Yr4'!O72*'Expenses Summary'!$G26))</f>
        <v>0</v>
      </c>
      <c r="P72" s="129"/>
      <c r="Q72" s="129"/>
      <c r="R72" s="129"/>
      <c r="S72" s="111" t="str">
        <f>IF(SUM(D72:R72)&gt;0,SUM(D72:R72)/'Expenses Summary'!$G26,"")</f>
        <v/>
      </c>
    </row>
    <row r="73" spans="1:19" s="31" customFormat="1" x14ac:dyDescent="0.2">
      <c r="A73" s="36"/>
      <c r="B73" s="67" t="str">
        <f>'Expenses Summary'!B27</f>
        <v>2900</v>
      </c>
      <c r="C73" s="67" t="str">
        <f>'Expenses Summary'!C27</f>
        <v>Other Classified Salaries</v>
      </c>
      <c r="D73" s="64">
        <f>IF('Expenses Summary'!$G27="","",IF('Cash Flow %s Yr4'!D73="","",'Cash Flow %s Yr4'!D73*'Expenses Summary'!$G27))</f>
        <v>0</v>
      </c>
      <c r="E73" s="64">
        <f>IF('Expenses Summary'!$G27="","",IF('Cash Flow %s Yr4'!E73="","",'Cash Flow %s Yr4'!E73*'Expenses Summary'!$G27))</f>
        <v>0</v>
      </c>
      <c r="F73" s="64">
        <f>IF('Expenses Summary'!$G27="","",IF('Cash Flow %s Yr4'!F73="","",'Cash Flow %s Yr4'!F73*'Expenses Summary'!$G27))</f>
        <v>0</v>
      </c>
      <c r="G73" s="64">
        <f>IF('Expenses Summary'!$G27="","",IF('Cash Flow %s Yr4'!G73="","",'Cash Flow %s Yr4'!G73*'Expenses Summary'!$G27))</f>
        <v>0</v>
      </c>
      <c r="H73" s="64">
        <f>IF('Expenses Summary'!$G27="","",IF('Cash Flow %s Yr4'!H73="","",'Cash Flow %s Yr4'!H73*'Expenses Summary'!$G27))</f>
        <v>0</v>
      </c>
      <c r="I73" s="64">
        <f>IF('Expenses Summary'!$G27="","",IF('Cash Flow %s Yr4'!I73="","",'Cash Flow %s Yr4'!I73*'Expenses Summary'!$G27))</f>
        <v>0</v>
      </c>
      <c r="J73" s="64">
        <f>IF('Expenses Summary'!$G27="","",IF('Cash Flow %s Yr4'!J73="","",'Cash Flow %s Yr4'!J73*'Expenses Summary'!$G27))</f>
        <v>0</v>
      </c>
      <c r="K73" s="64">
        <f>IF('Expenses Summary'!$G27="","",IF('Cash Flow %s Yr4'!K73="","",'Cash Flow %s Yr4'!K73*'Expenses Summary'!$G27))</f>
        <v>0</v>
      </c>
      <c r="L73" s="64">
        <f>IF('Expenses Summary'!$G27="","",IF('Cash Flow %s Yr4'!L73="","",'Cash Flow %s Yr4'!L73*'Expenses Summary'!$G27))</f>
        <v>0</v>
      </c>
      <c r="M73" s="64">
        <f>IF('Expenses Summary'!$G27="","",IF('Cash Flow %s Yr4'!M73="","",'Cash Flow %s Yr4'!M73*'Expenses Summary'!$G27))</f>
        <v>0</v>
      </c>
      <c r="N73" s="64">
        <f>IF('Expenses Summary'!$G27="","",IF('Cash Flow %s Yr4'!N73="","",'Cash Flow %s Yr4'!N73*'Expenses Summary'!$G27))</f>
        <v>0</v>
      </c>
      <c r="O73" s="64">
        <f>IF('Expenses Summary'!$G27="","",IF('Cash Flow %s Yr4'!O73="","",'Cash Flow %s Yr4'!O73*'Expenses Summary'!$G27))</f>
        <v>0</v>
      </c>
      <c r="P73" s="129"/>
      <c r="Q73" s="129"/>
      <c r="R73" s="129"/>
      <c r="S73" s="111" t="str">
        <f>IF(SUM(D73:R73)&gt;0,SUM(D73:R73)/'Expenses Summary'!$G27,"")</f>
        <v/>
      </c>
    </row>
    <row r="74" spans="1:19" s="31" customFormat="1" x14ac:dyDescent="0.2">
      <c r="A74" s="36"/>
      <c r="B74" s="67" t="str">
        <f>'Expenses Summary'!B28</f>
        <v>2905</v>
      </c>
      <c r="C74" s="67" t="str">
        <f>'Expenses Summary'!C28</f>
        <v>Other Stipends</v>
      </c>
      <c r="D74" s="64">
        <f>IF('Expenses Summary'!$G28="","",IF('Cash Flow %s Yr4'!D74="","",'Cash Flow %s Yr4'!D74*'Expenses Summary'!$G28))</f>
        <v>0</v>
      </c>
      <c r="E74" s="64">
        <f>IF('Expenses Summary'!$G28="","",IF('Cash Flow %s Yr4'!E74="","",'Cash Flow %s Yr4'!E74*'Expenses Summary'!$G28))</f>
        <v>0</v>
      </c>
      <c r="F74" s="64">
        <f>IF('Expenses Summary'!$G28="","",IF('Cash Flow %s Yr4'!F74="","",'Cash Flow %s Yr4'!F74*'Expenses Summary'!$G28))</f>
        <v>0</v>
      </c>
      <c r="G74" s="64">
        <f>IF('Expenses Summary'!$G28="","",IF('Cash Flow %s Yr4'!G74="","",'Cash Flow %s Yr4'!G74*'Expenses Summary'!$G28))</f>
        <v>0</v>
      </c>
      <c r="H74" s="64">
        <f>IF('Expenses Summary'!$G28="","",IF('Cash Flow %s Yr4'!H74="","",'Cash Flow %s Yr4'!H74*'Expenses Summary'!$G28))</f>
        <v>0</v>
      </c>
      <c r="I74" s="64">
        <f>IF('Expenses Summary'!$G28="","",IF('Cash Flow %s Yr4'!I74="","",'Cash Flow %s Yr4'!I74*'Expenses Summary'!$G28))</f>
        <v>0</v>
      </c>
      <c r="J74" s="64">
        <f>IF('Expenses Summary'!$G28="","",IF('Cash Flow %s Yr4'!J74="","",'Cash Flow %s Yr4'!J74*'Expenses Summary'!$G28))</f>
        <v>0</v>
      </c>
      <c r="K74" s="64">
        <f>IF('Expenses Summary'!$G28="","",IF('Cash Flow %s Yr4'!K74="","",'Cash Flow %s Yr4'!K74*'Expenses Summary'!$G28))</f>
        <v>0</v>
      </c>
      <c r="L74" s="64">
        <f>IF('Expenses Summary'!$G28="","",IF('Cash Flow %s Yr4'!L74="","",'Cash Flow %s Yr4'!L74*'Expenses Summary'!$G28))</f>
        <v>0</v>
      </c>
      <c r="M74" s="64">
        <f>IF('Expenses Summary'!$G28="","",IF('Cash Flow %s Yr4'!M74="","",'Cash Flow %s Yr4'!M74*'Expenses Summary'!$G28))</f>
        <v>0</v>
      </c>
      <c r="N74" s="64">
        <f>IF('Expenses Summary'!$G28="","",IF('Cash Flow %s Yr4'!N74="","",'Cash Flow %s Yr4'!N74*'Expenses Summary'!$G28))</f>
        <v>0</v>
      </c>
      <c r="O74" s="64">
        <f>IF('Expenses Summary'!$G28="","",IF('Cash Flow %s Yr4'!O74="","",'Cash Flow %s Yr4'!O74*'Expenses Summary'!$G28))</f>
        <v>0</v>
      </c>
      <c r="P74" s="129"/>
      <c r="Q74" s="129"/>
      <c r="R74" s="129"/>
      <c r="S74" s="111" t="str">
        <f>IF(SUM(D74:R74)&gt;0,SUM(D74:R74)/'Expenses Summary'!$G28,"")</f>
        <v/>
      </c>
    </row>
    <row r="75" spans="1:19" s="31" customFormat="1" x14ac:dyDescent="0.2">
      <c r="A75" s="36"/>
      <c r="B75" s="67" t="str">
        <f>'Expenses Summary'!B29</f>
        <v>2910</v>
      </c>
      <c r="C75" s="67" t="str">
        <f>'Expenses Summary'!C29</f>
        <v>Other Classified Overtime</v>
      </c>
      <c r="D75" s="64">
        <f>IF('Expenses Summary'!$G29="","",IF('Cash Flow %s Yr4'!D75="","",'Cash Flow %s Yr4'!D75*'Expenses Summary'!$G29))</f>
        <v>0</v>
      </c>
      <c r="E75" s="64">
        <f>IF('Expenses Summary'!$G29="","",IF('Cash Flow %s Yr4'!E75="","",'Cash Flow %s Yr4'!E75*'Expenses Summary'!$G29))</f>
        <v>0</v>
      </c>
      <c r="F75" s="64">
        <f>IF('Expenses Summary'!$G29="","",IF('Cash Flow %s Yr4'!F75="","",'Cash Flow %s Yr4'!F75*'Expenses Summary'!$G29))</f>
        <v>0</v>
      </c>
      <c r="G75" s="64">
        <f>IF('Expenses Summary'!$G29="","",IF('Cash Flow %s Yr4'!G75="","",'Cash Flow %s Yr4'!G75*'Expenses Summary'!$G29))</f>
        <v>0</v>
      </c>
      <c r="H75" s="64">
        <f>IF('Expenses Summary'!$G29="","",IF('Cash Flow %s Yr4'!H75="","",'Cash Flow %s Yr4'!H75*'Expenses Summary'!$G29))</f>
        <v>0</v>
      </c>
      <c r="I75" s="64">
        <f>IF('Expenses Summary'!$G29="","",IF('Cash Flow %s Yr4'!I75="","",'Cash Flow %s Yr4'!I75*'Expenses Summary'!$G29))</f>
        <v>0</v>
      </c>
      <c r="J75" s="64">
        <f>IF('Expenses Summary'!$G29="","",IF('Cash Flow %s Yr4'!J75="","",'Cash Flow %s Yr4'!J75*'Expenses Summary'!$G29))</f>
        <v>0</v>
      </c>
      <c r="K75" s="64">
        <f>IF('Expenses Summary'!$G29="","",IF('Cash Flow %s Yr4'!K75="","",'Cash Flow %s Yr4'!K75*'Expenses Summary'!$G29))</f>
        <v>0</v>
      </c>
      <c r="L75" s="64">
        <f>IF('Expenses Summary'!$G29="","",IF('Cash Flow %s Yr4'!L75="","",'Cash Flow %s Yr4'!L75*'Expenses Summary'!$G29))</f>
        <v>0</v>
      </c>
      <c r="M75" s="64">
        <f>IF('Expenses Summary'!$G29="","",IF('Cash Flow %s Yr4'!M75="","",'Cash Flow %s Yr4'!M75*'Expenses Summary'!$G29))</f>
        <v>0</v>
      </c>
      <c r="N75" s="64">
        <f>IF('Expenses Summary'!$G29="","",IF('Cash Flow %s Yr4'!N75="","",'Cash Flow %s Yr4'!N75*'Expenses Summary'!$G29))</f>
        <v>0</v>
      </c>
      <c r="O75" s="64">
        <f>IF('Expenses Summary'!$G29="","",IF('Cash Flow %s Yr4'!O75="","",'Cash Flow %s Yr4'!O75*'Expenses Summary'!$G29))</f>
        <v>0</v>
      </c>
      <c r="P75" s="129"/>
      <c r="Q75" s="129"/>
      <c r="R75" s="129"/>
      <c r="S75" s="111" t="str">
        <f>IF(SUM(D75:R75)&gt;0,SUM(D75:R75)/'Expenses Summary'!$G29,"")</f>
        <v/>
      </c>
    </row>
    <row r="76" spans="1:19" s="31" customFormat="1" x14ac:dyDescent="0.2">
      <c r="A76" s="36"/>
      <c r="B76" s="43" t="s">
        <v>738</v>
      </c>
      <c r="C76" s="34" t="s">
        <v>721</v>
      </c>
      <c r="D76" s="172" t="str">
        <f t="shared" ref="D76:I76" si="6">IF(SUM(D65:D75)&gt;0,SUM(D65:D75),"")</f>
        <v/>
      </c>
      <c r="E76" s="172" t="str">
        <f t="shared" si="6"/>
        <v/>
      </c>
      <c r="F76" s="172">
        <f t="shared" si="6"/>
        <v>11491.668799999999</v>
      </c>
      <c r="G76" s="172">
        <f t="shared" si="6"/>
        <v>11491.668799999999</v>
      </c>
      <c r="H76" s="172">
        <f t="shared" si="6"/>
        <v>11491.668799999999</v>
      </c>
      <c r="I76" s="172">
        <f t="shared" si="6"/>
        <v>11491.668799999999</v>
      </c>
      <c r="J76" s="172">
        <f t="shared" ref="J76:O76" si="7">IF(SUM(J65:J75)&gt;0,SUM(J65:J75),"")</f>
        <v>11491.668799999999</v>
      </c>
      <c r="K76" s="172">
        <f t="shared" si="7"/>
        <v>11491.668799999999</v>
      </c>
      <c r="L76" s="172">
        <f t="shared" si="7"/>
        <v>11491.668799999999</v>
      </c>
      <c r="M76" s="172">
        <f t="shared" si="7"/>
        <v>11491.668799999999</v>
      </c>
      <c r="N76" s="172">
        <f t="shared" si="7"/>
        <v>11491.668799999999</v>
      </c>
      <c r="O76" s="172">
        <f t="shared" si="7"/>
        <v>11491.668799999999</v>
      </c>
      <c r="P76" s="100"/>
      <c r="Q76" s="100"/>
      <c r="R76" s="100"/>
      <c r="S76" s="107"/>
    </row>
    <row r="77" spans="1:19" s="31" customFormat="1" x14ac:dyDescent="0.2">
      <c r="A77" s="36"/>
      <c r="B77" s="40"/>
      <c r="C77" s="3"/>
      <c r="D77" s="102"/>
      <c r="E77" s="102"/>
      <c r="F77" s="102"/>
      <c r="G77" s="102"/>
      <c r="H77" s="102"/>
      <c r="I77" s="102"/>
      <c r="J77" s="102"/>
      <c r="K77" s="102"/>
      <c r="L77" s="102"/>
      <c r="M77" s="102"/>
      <c r="N77" s="102"/>
      <c r="O77" s="102"/>
      <c r="P77" s="102"/>
      <c r="Q77" s="102"/>
      <c r="R77" s="102"/>
    </row>
    <row r="78" spans="1:19" s="31" customFormat="1" x14ac:dyDescent="0.2">
      <c r="B78" s="34" t="s">
        <v>735</v>
      </c>
      <c r="C78" s="3"/>
      <c r="D78" s="102"/>
      <c r="E78" s="102"/>
      <c r="F78" s="102"/>
      <c r="G78" s="102"/>
      <c r="H78" s="102"/>
      <c r="I78" s="102"/>
      <c r="J78" s="102"/>
      <c r="K78" s="102"/>
      <c r="L78" s="102"/>
      <c r="M78" s="102"/>
      <c r="N78" s="102"/>
      <c r="O78" s="102"/>
      <c r="P78" s="102"/>
      <c r="Q78" s="102"/>
      <c r="R78" s="102"/>
    </row>
    <row r="79" spans="1:19" s="31" customFormat="1" x14ac:dyDescent="0.2">
      <c r="A79" s="36"/>
      <c r="B79" s="67" t="str">
        <f>'Expenses Summary'!B33</f>
        <v>3101</v>
      </c>
      <c r="C79" s="67" t="str">
        <f>'Expenses Summary'!C33</f>
        <v>State Teachers' Retirement System, certificated positions</v>
      </c>
      <c r="D79" s="64">
        <f>IF('Expenses Summary'!$G33="","",IF('Cash Flow %s Yr4'!D79="","",'Cash Flow %s Yr4'!D79*'Expenses Summary'!$G33))</f>
        <v>3889.82566835226</v>
      </c>
      <c r="E79" s="64">
        <f>IF('Expenses Summary'!$G33="","",IF('Cash Flow %s Yr4'!E79="","",'Cash Flow %s Yr4'!E79*'Expenses Summary'!$G33))</f>
        <v>3889.82566835226</v>
      </c>
      <c r="F79" s="64">
        <f>IF('Expenses Summary'!$G33="","",IF('Cash Flow %s Yr4'!F79="","",'Cash Flow %s Yr4'!F79*'Expenses Summary'!$G33))</f>
        <v>3889.82566835226</v>
      </c>
      <c r="G79" s="64">
        <f>IF('Expenses Summary'!$G33="","",IF('Cash Flow %s Yr4'!G79="","",'Cash Flow %s Yr4'!G79*'Expenses Summary'!$G33))</f>
        <v>3889.82566835226</v>
      </c>
      <c r="H79" s="64">
        <f>IF('Expenses Summary'!$G33="","",IF('Cash Flow %s Yr4'!H79="","",'Cash Flow %s Yr4'!H79*'Expenses Summary'!$G33))</f>
        <v>3889.82566835226</v>
      </c>
      <c r="I79" s="64">
        <f>IF('Expenses Summary'!$G33="","",IF('Cash Flow %s Yr4'!I79="","",'Cash Flow %s Yr4'!I79*'Expenses Summary'!$G33))</f>
        <v>3889.82566835226</v>
      </c>
      <c r="J79" s="64">
        <f>IF('Expenses Summary'!$G33="","",IF('Cash Flow %s Yr4'!J79="","",'Cash Flow %s Yr4'!J79*'Expenses Summary'!$G33))</f>
        <v>3889.82566835226</v>
      </c>
      <c r="K79" s="64">
        <f>IF('Expenses Summary'!$G33="","",IF('Cash Flow %s Yr4'!K79="","",'Cash Flow %s Yr4'!K79*'Expenses Summary'!$G33))</f>
        <v>3889.82566835226</v>
      </c>
      <c r="L79" s="64">
        <f>IF('Expenses Summary'!$G33="","",IF('Cash Flow %s Yr4'!L79="","",'Cash Flow %s Yr4'!L79*'Expenses Summary'!$G33))</f>
        <v>3936.6910378504799</v>
      </c>
      <c r="M79" s="64">
        <f>IF('Expenses Summary'!$G33="","",IF('Cash Flow %s Yr4'!M79="","",'Cash Flow %s Yr4'!M79*'Expenses Summary'!$G33))</f>
        <v>3936.6910378504799</v>
      </c>
      <c r="N79" s="64">
        <f>IF('Expenses Summary'!$G33="","",IF('Cash Flow %s Yr4'!N79="","",'Cash Flow %s Yr4'!N79*'Expenses Summary'!$G33))</f>
        <v>3936.6910378504799</v>
      </c>
      <c r="O79" s="64">
        <f>IF('Expenses Summary'!$G33="","",IF('Cash Flow %s Yr4'!O79="","",'Cash Flow %s Yr4'!O79*'Expenses Summary'!$G33))</f>
        <v>3936.6910378504799</v>
      </c>
      <c r="P79" s="129"/>
      <c r="Q79" s="129"/>
      <c r="R79" s="129"/>
      <c r="S79" s="111">
        <f>IF(SUM(D79:R79)&gt;0,SUM(D79:R79)/'Expenses Summary'!$G33,"")</f>
        <v>1.0000000000000002</v>
      </c>
    </row>
    <row r="80" spans="1:19" s="31" customFormat="1" x14ac:dyDescent="0.2">
      <c r="A80" s="36"/>
      <c r="B80" s="67" t="str">
        <f>'Expenses Summary'!B34</f>
        <v>3202</v>
      </c>
      <c r="C80" s="67" t="str">
        <f>'Expenses Summary'!C34</f>
        <v>Public Employees' Retirement System, classified positions</v>
      </c>
      <c r="D80" s="64">
        <f>IF('Expenses Summary'!$G34="","",IF('Cash Flow %s Yr4'!D80="","",'Cash Flow %s Yr4'!D80*'Expenses Summary'!$G34))</f>
        <v>0</v>
      </c>
      <c r="E80" s="64">
        <f>IF('Expenses Summary'!$G34="","",IF('Cash Flow %s Yr4'!E80="","",'Cash Flow %s Yr4'!E80*'Expenses Summary'!$G34))</f>
        <v>0</v>
      </c>
      <c r="F80" s="64">
        <f>IF('Expenses Summary'!$G34="","",IF('Cash Flow %s Yr4'!F80="","",'Cash Flow %s Yr4'!F80*'Expenses Summary'!$G34))</f>
        <v>0</v>
      </c>
      <c r="G80" s="64">
        <f>IF('Expenses Summary'!$G34="","",IF('Cash Flow %s Yr4'!G80="","",'Cash Flow %s Yr4'!G80*'Expenses Summary'!$G34))</f>
        <v>0</v>
      </c>
      <c r="H80" s="64">
        <f>IF('Expenses Summary'!$G34="","",IF('Cash Flow %s Yr4'!H80="","",'Cash Flow %s Yr4'!H80*'Expenses Summary'!$G34))</f>
        <v>0</v>
      </c>
      <c r="I80" s="64">
        <f>IF('Expenses Summary'!$G34="","",IF('Cash Flow %s Yr4'!I80="","",'Cash Flow %s Yr4'!I80*'Expenses Summary'!$G34))</f>
        <v>0</v>
      </c>
      <c r="J80" s="64">
        <f>IF('Expenses Summary'!$G34="","",IF('Cash Flow %s Yr4'!J80="","",'Cash Flow %s Yr4'!J80*'Expenses Summary'!$G34))</f>
        <v>0</v>
      </c>
      <c r="K80" s="64">
        <f>IF('Expenses Summary'!$G34="","",IF('Cash Flow %s Yr4'!K80="","",'Cash Flow %s Yr4'!K80*'Expenses Summary'!$G34))</f>
        <v>0</v>
      </c>
      <c r="L80" s="64">
        <f>IF('Expenses Summary'!$G34="","",IF('Cash Flow %s Yr4'!L80="","",'Cash Flow %s Yr4'!L80*'Expenses Summary'!$G34))</f>
        <v>0</v>
      </c>
      <c r="M80" s="64">
        <f>IF('Expenses Summary'!$G34="","",IF('Cash Flow %s Yr4'!M80="","",'Cash Flow %s Yr4'!M80*'Expenses Summary'!$G34))</f>
        <v>0</v>
      </c>
      <c r="N80" s="64">
        <f>IF('Expenses Summary'!$G34="","",IF('Cash Flow %s Yr4'!N80="","",'Cash Flow %s Yr4'!N80*'Expenses Summary'!$G34))</f>
        <v>0</v>
      </c>
      <c r="O80" s="64">
        <f>IF('Expenses Summary'!$G34="","",IF('Cash Flow %s Yr4'!O80="","",'Cash Flow %s Yr4'!O80*'Expenses Summary'!$G34))</f>
        <v>0</v>
      </c>
      <c r="P80" s="129"/>
      <c r="Q80" s="129"/>
      <c r="R80" s="129"/>
      <c r="S80" s="111" t="str">
        <f>IF(SUM(D80:R80)&gt;0,SUM(D80:R80)/'Expenses Summary'!$G34,"")</f>
        <v/>
      </c>
    </row>
    <row r="81" spans="1:19" s="31" customFormat="1" x14ac:dyDescent="0.2">
      <c r="A81" s="36"/>
      <c r="B81" s="67" t="str">
        <f>'Expenses Summary'!B35</f>
        <v>3313</v>
      </c>
      <c r="C81" s="67" t="str">
        <f>'Expenses Summary'!C35</f>
        <v>OASDI</v>
      </c>
      <c r="D81" s="64">
        <f>IF('Expenses Summary'!$G35="","",IF('Cash Flow %s Yr4'!D81="","",'Cash Flow %s Yr4'!D81*'Expenses Summary'!$G35))</f>
        <v>596.1303190000001</v>
      </c>
      <c r="E81" s="64">
        <f>IF('Expenses Summary'!$G35="","",IF('Cash Flow %s Yr4'!E81="","",'Cash Flow %s Yr4'!E81*'Expenses Summary'!$G35))</f>
        <v>596.1303190000001</v>
      </c>
      <c r="F81" s="64">
        <f>IF('Expenses Summary'!$G35="","",IF('Cash Flow %s Yr4'!F81="","",'Cash Flow %s Yr4'!F81*'Expenses Summary'!$G35))</f>
        <v>596.1303190000001</v>
      </c>
      <c r="G81" s="64">
        <f>IF('Expenses Summary'!$G35="","",IF('Cash Flow %s Yr4'!G81="","",'Cash Flow %s Yr4'!G81*'Expenses Summary'!$G35))</f>
        <v>596.1303190000001</v>
      </c>
      <c r="H81" s="64">
        <f>IF('Expenses Summary'!$G35="","",IF('Cash Flow %s Yr4'!H81="","",'Cash Flow %s Yr4'!H81*'Expenses Summary'!$G35))</f>
        <v>596.1303190000001</v>
      </c>
      <c r="I81" s="64">
        <f>IF('Expenses Summary'!$G35="","",IF('Cash Flow %s Yr4'!I81="","",'Cash Flow %s Yr4'!I81*'Expenses Summary'!$G35))</f>
        <v>596.1303190000001</v>
      </c>
      <c r="J81" s="64">
        <f>IF('Expenses Summary'!$G35="","",IF('Cash Flow %s Yr4'!J81="","",'Cash Flow %s Yr4'!J81*'Expenses Summary'!$G35))</f>
        <v>596.1303190000001</v>
      </c>
      <c r="K81" s="64">
        <f>IF('Expenses Summary'!$G35="","",IF('Cash Flow %s Yr4'!K81="","",'Cash Flow %s Yr4'!K81*'Expenses Summary'!$G35))</f>
        <v>596.1303190000001</v>
      </c>
      <c r="L81" s="64">
        <f>IF('Expenses Summary'!$G35="","",IF('Cash Flow %s Yr4'!L81="","",'Cash Flow %s Yr4'!L81*'Expenses Summary'!$G35))</f>
        <v>603.31261200000006</v>
      </c>
      <c r="M81" s="64">
        <f>IF('Expenses Summary'!$G35="","",IF('Cash Flow %s Yr4'!M81="","",'Cash Flow %s Yr4'!M81*'Expenses Summary'!$G35))</f>
        <v>603.31261200000006</v>
      </c>
      <c r="N81" s="64">
        <f>IF('Expenses Summary'!$G35="","",IF('Cash Flow %s Yr4'!N81="","",'Cash Flow %s Yr4'!N81*'Expenses Summary'!$G35))</f>
        <v>603.31261200000006</v>
      </c>
      <c r="O81" s="64">
        <f>IF('Expenses Summary'!$G35="","",IF('Cash Flow %s Yr4'!O81="","",'Cash Flow %s Yr4'!O81*'Expenses Summary'!$G35))</f>
        <v>603.31261200000006</v>
      </c>
      <c r="P81" s="129"/>
      <c r="Q81" s="129"/>
      <c r="R81" s="129"/>
      <c r="S81" s="111">
        <f>IF(SUM(D81:R81)&gt;0,SUM(D81:R81)/'Expenses Summary'!$G35,"")</f>
        <v>0.99999999999999978</v>
      </c>
    </row>
    <row r="82" spans="1:19" s="31" customFormat="1" x14ac:dyDescent="0.2">
      <c r="A82" s="36"/>
      <c r="B82" s="67" t="str">
        <f>'Expenses Summary'!B36</f>
        <v>3323</v>
      </c>
      <c r="C82" s="67" t="str">
        <f>'Expenses Summary'!C36</f>
        <v>Medicare</v>
      </c>
      <c r="D82" s="64">
        <f>IF('Expenses Summary'!$G36="","",IF('Cash Flow %s Yr4'!D82="","",'Cash Flow %s Yr4'!D82*'Expenses Summary'!$G36))</f>
        <v>529.17175716190002</v>
      </c>
      <c r="E82" s="64">
        <f>IF('Expenses Summary'!$G36="","",IF('Cash Flow %s Yr4'!E82="","",'Cash Flow %s Yr4'!E82*'Expenses Summary'!$G36))</f>
        <v>529.17175716190002</v>
      </c>
      <c r="F82" s="64">
        <f>IF('Expenses Summary'!$G36="","",IF('Cash Flow %s Yr4'!F82="","",'Cash Flow %s Yr4'!F82*'Expenses Summary'!$G36))</f>
        <v>529.17175716190002</v>
      </c>
      <c r="G82" s="64">
        <f>IF('Expenses Summary'!$G36="","",IF('Cash Flow %s Yr4'!G82="","",'Cash Flow %s Yr4'!G82*'Expenses Summary'!$G36))</f>
        <v>529.17175716190002</v>
      </c>
      <c r="H82" s="64">
        <f>IF('Expenses Summary'!$G36="","",IF('Cash Flow %s Yr4'!H82="","",'Cash Flow %s Yr4'!H82*'Expenses Summary'!$G36))</f>
        <v>529.17175716190002</v>
      </c>
      <c r="I82" s="64">
        <f>IF('Expenses Summary'!$G36="","",IF('Cash Flow %s Yr4'!I82="","",'Cash Flow %s Yr4'!I82*'Expenses Summary'!$G36))</f>
        <v>529.17175716190002</v>
      </c>
      <c r="J82" s="64">
        <f>IF('Expenses Summary'!$G36="","",IF('Cash Flow %s Yr4'!J82="","",'Cash Flow %s Yr4'!J82*'Expenses Summary'!$G36))</f>
        <v>529.17175716190002</v>
      </c>
      <c r="K82" s="64">
        <f>IF('Expenses Summary'!$G36="","",IF('Cash Flow %s Yr4'!K82="","",'Cash Flow %s Yr4'!K82*'Expenses Summary'!$G36))</f>
        <v>529.17175716190002</v>
      </c>
      <c r="L82" s="64">
        <f>IF('Expenses Summary'!$G36="","",IF('Cash Flow %s Yr4'!L82="","",'Cash Flow %s Yr4'!L82*'Expenses Summary'!$G36))</f>
        <v>535.54732050120003</v>
      </c>
      <c r="M82" s="64">
        <f>IF('Expenses Summary'!$G36="","",IF('Cash Flow %s Yr4'!M82="","",'Cash Flow %s Yr4'!M82*'Expenses Summary'!$G36))</f>
        <v>535.54732050120003</v>
      </c>
      <c r="N82" s="64">
        <f>IF('Expenses Summary'!$G36="","",IF('Cash Flow %s Yr4'!N82="","",'Cash Flow %s Yr4'!N82*'Expenses Summary'!$G36))</f>
        <v>535.54732050120003</v>
      </c>
      <c r="O82" s="64">
        <f>IF('Expenses Summary'!$G36="","",IF('Cash Flow %s Yr4'!O82="","",'Cash Flow %s Yr4'!O82*'Expenses Summary'!$G36))</f>
        <v>535.54732050120003</v>
      </c>
      <c r="P82" s="129"/>
      <c r="Q82" s="129"/>
      <c r="R82" s="129"/>
      <c r="S82" s="111">
        <f>IF(SUM(D82:R82)&gt;0,SUM(D82:R82)/'Expenses Summary'!$G36,"")</f>
        <v>1.0000000000000002</v>
      </c>
    </row>
    <row r="83" spans="1:19" s="31" customFormat="1" x14ac:dyDescent="0.2">
      <c r="A83" s="36"/>
      <c r="B83" s="67" t="str">
        <f>'Expenses Summary'!B37</f>
        <v>3403</v>
      </c>
      <c r="C83" s="67" t="str">
        <f>'Expenses Summary'!C37</f>
        <v>Health &amp; Welfare Benefits</v>
      </c>
      <c r="D83" s="64">
        <f>IF('Expenses Summary'!$G37="","",IF('Cash Flow %s Yr4'!D83="","",'Cash Flow %s Yr4'!D83*'Expenses Summary'!$G37))</f>
        <v>6723</v>
      </c>
      <c r="E83" s="64">
        <f>IF('Expenses Summary'!$G37="","",IF('Cash Flow %s Yr4'!E83="","",'Cash Flow %s Yr4'!E83*'Expenses Summary'!$G37))</f>
        <v>6723</v>
      </c>
      <c r="F83" s="64">
        <f>IF('Expenses Summary'!$G37="","",IF('Cash Flow %s Yr4'!F83="","",'Cash Flow %s Yr4'!F83*'Expenses Summary'!$G37))</f>
        <v>6723</v>
      </c>
      <c r="G83" s="64">
        <f>IF('Expenses Summary'!$G37="","",IF('Cash Flow %s Yr4'!G83="","",'Cash Flow %s Yr4'!G83*'Expenses Summary'!$G37))</f>
        <v>6723</v>
      </c>
      <c r="H83" s="64">
        <f>IF('Expenses Summary'!$G37="","",IF('Cash Flow %s Yr4'!H83="","",'Cash Flow %s Yr4'!H83*'Expenses Summary'!$G37))</f>
        <v>6723</v>
      </c>
      <c r="I83" s="64">
        <f>IF('Expenses Summary'!$G37="","",IF('Cash Flow %s Yr4'!I83="","",'Cash Flow %s Yr4'!I83*'Expenses Summary'!$G37))</f>
        <v>6723</v>
      </c>
      <c r="J83" s="64">
        <f>IF('Expenses Summary'!$G37="","",IF('Cash Flow %s Yr4'!J83="","",'Cash Flow %s Yr4'!J83*'Expenses Summary'!$G37))</f>
        <v>6723</v>
      </c>
      <c r="K83" s="64">
        <f>IF('Expenses Summary'!$G37="","",IF('Cash Flow %s Yr4'!K83="","",'Cash Flow %s Yr4'!K83*'Expenses Summary'!$G37))</f>
        <v>6723</v>
      </c>
      <c r="L83" s="64">
        <f>IF('Expenses Summary'!$G37="","",IF('Cash Flow %s Yr4'!L83="","",'Cash Flow %s Yr4'!L83*'Expenses Summary'!$G37))</f>
        <v>6804</v>
      </c>
      <c r="M83" s="64">
        <f>IF('Expenses Summary'!$G37="","",IF('Cash Flow %s Yr4'!M83="","",'Cash Flow %s Yr4'!M83*'Expenses Summary'!$G37))</f>
        <v>6804</v>
      </c>
      <c r="N83" s="64">
        <f>IF('Expenses Summary'!$G37="","",IF('Cash Flow %s Yr4'!N83="","",'Cash Flow %s Yr4'!N83*'Expenses Summary'!$G37))</f>
        <v>6804</v>
      </c>
      <c r="O83" s="64">
        <f>IF('Expenses Summary'!$G37="","",IF('Cash Flow %s Yr4'!O83="","",'Cash Flow %s Yr4'!O83*'Expenses Summary'!$G37))</f>
        <v>6804</v>
      </c>
      <c r="P83" s="129"/>
      <c r="Q83" s="129"/>
      <c r="R83" s="129"/>
      <c r="S83" s="111">
        <f>IF(SUM(D83:R83)&gt;0,SUM(D83:R83)/'Expenses Summary'!$G37,"")</f>
        <v>1</v>
      </c>
    </row>
    <row r="84" spans="1:19" s="31" customFormat="1" x14ac:dyDescent="0.2">
      <c r="A84" s="36"/>
      <c r="B84" s="67" t="str">
        <f>'Expenses Summary'!B38</f>
        <v>3503</v>
      </c>
      <c r="C84" s="67" t="str">
        <f>'Expenses Summary'!C38</f>
        <v>State Unemployment Insurance</v>
      </c>
      <c r="D84" s="64">
        <f>IF('Expenses Summary'!$G38="","",IF('Cash Flow %s Yr4'!D84="","",'Cash Flow %s Yr4'!D84*'Expenses Summary'!$G38))</f>
        <v>729.89207884400014</v>
      </c>
      <c r="E84" s="64">
        <f>IF('Expenses Summary'!$G38="","",IF('Cash Flow %s Yr4'!E84="","",'Cash Flow %s Yr4'!E84*'Expenses Summary'!$G38))</f>
        <v>729.89207884400014</v>
      </c>
      <c r="F84" s="64">
        <f>IF('Expenses Summary'!$G38="","",IF('Cash Flow %s Yr4'!F84="","",'Cash Flow %s Yr4'!F84*'Expenses Summary'!$G38))</f>
        <v>729.89207884400014</v>
      </c>
      <c r="G84" s="64">
        <f>IF('Expenses Summary'!$G38="","",IF('Cash Flow %s Yr4'!G84="","",'Cash Flow %s Yr4'!G84*'Expenses Summary'!$G38))</f>
        <v>729.89207884400014</v>
      </c>
      <c r="H84" s="64">
        <f>IF('Expenses Summary'!$G38="","",IF('Cash Flow %s Yr4'!H84="","",'Cash Flow %s Yr4'!H84*'Expenses Summary'!$G38))</f>
        <v>729.89207884400014</v>
      </c>
      <c r="I84" s="64">
        <f>IF('Expenses Summary'!$G38="","",IF('Cash Flow %s Yr4'!I84="","",'Cash Flow %s Yr4'!I84*'Expenses Summary'!$G38))</f>
        <v>729.89207884400014</v>
      </c>
      <c r="J84" s="64">
        <f>IF('Expenses Summary'!$G38="","",IF('Cash Flow %s Yr4'!J84="","",'Cash Flow %s Yr4'!J84*'Expenses Summary'!$G38))</f>
        <v>729.89207884400014</v>
      </c>
      <c r="K84" s="64">
        <f>IF('Expenses Summary'!$G38="","",IF('Cash Flow %s Yr4'!K84="","",'Cash Flow %s Yr4'!K84*'Expenses Summary'!$G38))</f>
        <v>729.89207884400014</v>
      </c>
      <c r="L84" s="64">
        <f>IF('Expenses Summary'!$G38="","",IF('Cash Flow %s Yr4'!L84="","",'Cash Flow %s Yr4'!L84*'Expenses Summary'!$G38))</f>
        <v>738.68595931200014</v>
      </c>
      <c r="M84" s="64">
        <f>IF('Expenses Summary'!$G38="","",IF('Cash Flow %s Yr4'!M84="","",'Cash Flow %s Yr4'!M84*'Expenses Summary'!$G38))</f>
        <v>738.68595931200014</v>
      </c>
      <c r="N84" s="64">
        <f>IF('Expenses Summary'!$G38="","",IF('Cash Flow %s Yr4'!N84="","",'Cash Flow %s Yr4'!N84*'Expenses Summary'!$G38))</f>
        <v>738.68595931200014</v>
      </c>
      <c r="O84" s="64">
        <f>IF('Expenses Summary'!$G38="","",IF('Cash Flow %s Yr4'!O84="","",'Cash Flow %s Yr4'!O84*'Expenses Summary'!$G38))</f>
        <v>738.68595931200014</v>
      </c>
      <c r="P84" s="129"/>
      <c r="Q84" s="129"/>
      <c r="R84" s="129"/>
      <c r="S84" s="111">
        <f>IF(SUM(D84:R84)&gt;0,SUM(D84:R84)/'Expenses Summary'!$G38,"")</f>
        <v>1</v>
      </c>
    </row>
    <row r="85" spans="1:19" s="31" customFormat="1" x14ac:dyDescent="0.2">
      <c r="A85" s="36"/>
      <c r="B85" s="67" t="str">
        <f>'Expenses Summary'!B39</f>
        <v>3603</v>
      </c>
      <c r="C85" s="67" t="str">
        <f>'Expenses Summary'!C39</f>
        <v>Worker Compensation Insurance</v>
      </c>
      <c r="D85" s="64">
        <f>IF('Expenses Summary'!$G39="","",IF('Cash Flow %s Yr4'!D85="","",'Cash Flow %s Yr4'!D85*'Expenses Summary'!$G39))</f>
        <v>437.93524730640013</v>
      </c>
      <c r="E85" s="64">
        <f>IF('Expenses Summary'!$G39="","",IF('Cash Flow %s Yr4'!E85="","",'Cash Flow %s Yr4'!E85*'Expenses Summary'!$G39))</f>
        <v>437.93524730640013</v>
      </c>
      <c r="F85" s="64">
        <f>IF('Expenses Summary'!$G39="","",IF('Cash Flow %s Yr4'!F85="","",'Cash Flow %s Yr4'!F85*'Expenses Summary'!$G39))</f>
        <v>437.93524730640013</v>
      </c>
      <c r="G85" s="64">
        <f>IF('Expenses Summary'!$G39="","",IF('Cash Flow %s Yr4'!G85="","",'Cash Flow %s Yr4'!G85*'Expenses Summary'!$G39))</f>
        <v>437.93524730640013</v>
      </c>
      <c r="H85" s="64">
        <f>IF('Expenses Summary'!$G39="","",IF('Cash Flow %s Yr4'!H85="","",'Cash Flow %s Yr4'!H85*'Expenses Summary'!$G39))</f>
        <v>437.93524730640013</v>
      </c>
      <c r="I85" s="64">
        <f>IF('Expenses Summary'!$G39="","",IF('Cash Flow %s Yr4'!I85="","",'Cash Flow %s Yr4'!I85*'Expenses Summary'!$G39))</f>
        <v>437.93524730640013</v>
      </c>
      <c r="J85" s="64">
        <f>IF('Expenses Summary'!$G39="","",IF('Cash Flow %s Yr4'!J85="","",'Cash Flow %s Yr4'!J85*'Expenses Summary'!$G39))</f>
        <v>437.93524730640013</v>
      </c>
      <c r="K85" s="64">
        <f>IF('Expenses Summary'!$G39="","",IF('Cash Flow %s Yr4'!K85="","",'Cash Flow %s Yr4'!K85*'Expenses Summary'!$G39))</f>
        <v>437.93524730640013</v>
      </c>
      <c r="L85" s="64">
        <f>IF('Expenses Summary'!$G39="","",IF('Cash Flow %s Yr4'!L85="","",'Cash Flow %s Yr4'!L85*'Expenses Summary'!$G39))</f>
        <v>443.21157558720012</v>
      </c>
      <c r="M85" s="64">
        <f>IF('Expenses Summary'!$G39="","",IF('Cash Flow %s Yr4'!M85="","",'Cash Flow %s Yr4'!M85*'Expenses Summary'!$G39))</f>
        <v>443.21157558720012</v>
      </c>
      <c r="N85" s="64">
        <f>IF('Expenses Summary'!$G39="","",IF('Cash Flow %s Yr4'!N85="","",'Cash Flow %s Yr4'!N85*'Expenses Summary'!$G39))</f>
        <v>443.21157558720012</v>
      </c>
      <c r="O85" s="64">
        <f>IF('Expenses Summary'!$G39="","",IF('Cash Flow %s Yr4'!O85="","",'Cash Flow %s Yr4'!O85*'Expenses Summary'!$G39))</f>
        <v>443.21157558720012</v>
      </c>
      <c r="P85" s="129"/>
      <c r="Q85" s="129"/>
      <c r="R85" s="129"/>
      <c r="S85" s="111">
        <f>IF(SUM(D85:R85)&gt;0,SUM(D85:R85)/'Expenses Summary'!$G39,"")</f>
        <v>1</v>
      </c>
    </row>
    <row r="86" spans="1:19" s="31" customFormat="1" x14ac:dyDescent="0.2">
      <c r="A86" s="36"/>
      <c r="B86" s="67" t="str">
        <f>'Expenses Summary'!B40</f>
        <v>3703</v>
      </c>
      <c r="C86" s="67" t="str">
        <f>'Expenses Summary'!C40</f>
        <v>Other Post Employement Benefits</v>
      </c>
      <c r="D86" s="64">
        <f>IF('Expenses Summary'!$G40="","",IF('Cash Flow %s Yr4'!D86="","",'Cash Flow %s Yr4'!D86*'Expenses Summary'!$G40))</f>
        <v>0</v>
      </c>
      <c r="E86" s="64">
        <f>IF('Expenses Summary'!$G40="","",IF('Cash Flow %s Yr4'!E86="","",'Cash Flow %s Yr4'!E86*'Expenses Summary'!$G40))</f>
        <v>0</v>
      </c>
      <c r="F86" s="64">
        <f>IF('Expenses Summary'!$G40="","",IF('Cash Flow %s Yr4'!F86="","",'Cash Flow %s Yr4'!F86*'Expenses Summary'!$G40))</f>
        <v>0</v>
      </c>
      <c r="G86" s="64">
        <f>IF('Expenses Summary'!$G40="","",IF('Cash Flow %s Yr4'!G86="","",'Cash Flow %s Yr4'!G86*'Expenses Summary'!$G40))</f>
        <v>0</v>
      </c>
      <c r="H86" s="64">
        <f>IF('Expenses Summary'!$G40="","",IF('Cash Flow %s Yr4'!H86="","",'Cash Flow %s Yr4'!H86*'Expenses Summary'!$G40))</f>
        <v>0</v>
      </c>
      <c r="I86" s="64">
        <f>IF('Expenses Summary'!$G40="","",IF('Cash Flow %s Yr4'!I86="","",'Cash Flow %s Yr4'!I86*'Expenses Summary'!$G40))</f>
        <v>0</v>
      </c>
      <c r="J86" s="64">
        <f>IF('Expenses Summary'!$G40="","",IF('Cash Flow %s Yr4'!J86="","",'Cash Flow %s Yr4'!J86*'Expenses Summary'!$G40))</f>
        <v>0</v>
      </c>
      <c r="K86" s="64">
        <f>IF('Expenses Summary'!$G40="","",IF('Cash Flow %s Yr4'!K86="","",'Cash Flow %s Yr4'!K86*'Expenses Summary'!$G40))</f>
        <v>0</v>
      </c>
      <c r="L86" s="64">
        <f>IF('Expenses Summary'!$G40="","",IF('Cash Flow %s Yr4'!L86="","",'Cash Flow %s Yr4'!L86*'Expenses Summary'!$G40))</f>
        <v>0</v>
      </c>
      <c r="M86" s="64">
        <f>IF('Expenses Summary'!$G40="","",IF('Cash Flow %s Yr4'!M86="","",'Cash Flow %s Yr4'!M86*'Expenses Summary'!$G40))</f>
        <v>0</v>
      </c>
      <c r="N86" s="64">
        <f>IF('Expenses Summary'!$G40="","",IF('Cash Flow %s Yr4'!N86="","",'Cash Flow %s Yr4'!N86*'Expenses Summary'!$G40))</f>
        <v>0</v>
      </c>
      <c r="O86" s="64">
        <f>IF('Expenses Summary'!$G40="","",IF('Cash Flow %s Yr4'!O86="","",'Cash Flow %s Yr4'!O86*'Expenses Summary'!$G40))</f>
        <v>0</v>
      </c>
      <c r="P86" s="129"/>
      <c r="Q86" s="129"/>
      <c r="R86" s="129"/>
      <c r="S86" s="111" t="str">
        <f>IF(SUM(D86:R86)&gt;0,SUM(D86:R86)/'Expenses Summary'!$G40,"")</f>
        <v/>
      </c>
    </row>
    <row r="87" spans="1:19" s="31" customFormat="1" x14ac:dyDescent="0.2">
      <c r="A87" s="36"/>
      <c r="B87" s="67" t="str">
        <f>'Expenses Summary'!B41</f>
        <v>3903</v>
      </c>
      <c r="C87" s="67" t="str">
        <f>'Expenses Summary'!C41</f>
        <v>Other Benefits</v>
      </c>
      <c r="D87" s="64">
        <f>IF('Expenses Summary'!$G41="","",IF('Cash Flow %s Yr4'!D87="","",'Cash Flow %s Yr4'!D87*'Expenses Summary'!$G41))</f>
        <v>0</v>
      </c>
      <c r="E87" s="64">
        <f>IF('Expenses Summary'!$G41="","",IF('Cash Flow %s Yr4'!E87="","",'Cash Flow %s Yr4'!E87*'Expenses Summary'!$G41))</f>
        <v>0</v>
      </c>
      <c r="F87" s="64">
        <f>IF('Expenses Summary'!$G41="","",IF('Cash Flow %s Yr4'!F87="","",'Cash Flow %s Yr4'!F87*'Expenses Summary'!$G41))</f>
        <v>0</v>
      </c>
      <c r="G87" s="64">
        <f>IF('Expenses Summary'!$G41="","",IF('Cash Flow %s Yr4'!G87="","",'Cash Flow %s Yr4'!G87*'Expenses Summary'!$G41))</f>
        <v>0</v>
      </c>
      <c r="H87" s="64">
        <f>IF('Expenses Summary'!$G41="","",IF('Cash Flow %s Yr4'!H87="","",'Cash Flow %s Yr4'!H87*'Expenses Summary'!$G41))</f>
        <v>0</v>
      </c>
      <c r="I87" s="64">
        <f>IF('Expenses Summary'!$G41="","",IF('Cash Flow %s Yr4'!I87="","",'Cash Flow %s Yr4'!I87*'Expenses Summary'!$G41))</f>
        <v>0</v>
      </c>
      <c r="J87" s="64">
        <f>IF('Expenses Summary'!$G41="","",IF('Cash Flow %s Yr4'!J87="","",'Cash Flow %s Yr4'!J87*'Expenses Summary'!$G41))</f>
        <v>0</v>
      </c>
      <c r="K87" s="64">
        <f>IF('Expenses Summary'!$G41="","",IF('Cash Flow %s Yr4'!K87="","",'Cash Flow %s Yr4'!K87*'Expenses Summary'!$G41))</f>
        <v>0</v>
      </c>
      <c r="L87" s="64">
        <f>IF('Expenses Summary'!$G41="","",IF('Cash Flow %s Yr4'!L87="","",'Cash Flow %s Yr4'!L87*'Expenses Summary'!$G41))</f>
        <v>0</v>
      </c>
      <c r="M87" s="64">
        <f>IF('Expenses Summary'!$G41="","",IF('Cash Flow %s Yr4'!M87="","",'Cash Flow %s Yr4'!M87*'Expenses Summary'!$G41))</f>
        <v>0</v>
      </c>
      <c r="N87" s="64">
        <f>IF('Expenses Summary'!$G41="","",IF('Cash Flow %s Yr4'!N87="","",'Cash Flow %s Yr4'!N87*'Expenses Summary'!$G41))</f>
        <v>0</v>
      </c>
      <c r="O87" s="64">
        <f>IF('Expenses Summary'!$G41="","",IF('Cash Flow %s Yr4'!O87="","",'Cash Flow %s Yr4'!O87*'Expenses Summary'!$G41))</f>
        <v>0</v>
      </c>
      <c r="P87" s="129"/>
      <c r="Q87" s="129"/>
      <c r="R87" s="129"/>
      <c r="S87" s="111" t="str">
        <f>IF(SUM(D87:R87)&gt;0,SUM(D87:R87)/'Expenses Summary'!$G41,"")</f>
        <v/>
      </c>
    </row>
    <row r="88" spans="1:19" s="31" customFormat="1" x14ac:dyDescent="0.2">
      <c r="A88" s="36"/>
      <c r="B88" s="43" t="s">
        <v>739</v>
      </c>
      <c r="C88" s="34" t="s">
        <v>721</v>
      </c>
      <c r="D88" s="172">
        <f t="shared" ref="D88:O88" si="8">IF(SUM(D78:D87)&gt;0,SUM(D78:D87),"")</f>
        <v>12905.955070664562</v>
      </c>
      <c r="E88" s="172">
        <f t="shared" si="8"/>
        <v>12905.955070664562</v>
      </c>
      <c r="F88" s="172">
        <f t="shared" si="8"/>
        <v>12905.955070664562</v>
      </c>
      <c r="G88" s="172">
        <f t="shared" si="8"/>
        <v>12905.955070664562</v>
      </c>
      <c r="H88" s="172">
        <f t="shared" si="8"/>
        <v>12905.955070664562</v>
      </c>
      <c r="I88" s="172">
        <f t="shared" si="8"/>
        <v>12905.955070664562</v>
      </c>
      <c r="J88" s="172">
        <f t="shared" si="8"/>
        <v>12905.955070664562</v>
      </c>
      <c r="K88" s="172">
        <f t="shared" si="8"/>
        <v>12905.955070664562</v>
      </c>
      <c r="L88" s="172">
        <f t="shared" si="8"/>
        <v>13061.448505250881</v>
      </c>
      <c r="M88" s="172">
        <f t="shared" si="8"/>
        <v>13061.448505250881</v>
      </c>
      <c r="N88" s="172">
        <f t="shared" si="8"/>
        <v>13061.448505250881</v>
      </c>
      <c r="O88" s="172">
        <f t="shared" si="8"/>
        <v>13061.448505250881</v>
      </c>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row>
    <row r="90" spans="1:19" s="31" customFormat="1" x14ac:dyDescent="0.2">
      <c r="B90" s="34" t="s">
        <v>678</v>
      </c>
      <c r="C90" s="3"/>
      <c r="D90" s="95"/>
      <c r="E90" s="95"/>
      <c r="F90" s="95"/>
      <c r="G90" s="95"/>
      <c r="H90" s="95"/>
      <c r="I90" s="95"/>
      <c r="J90" s="95"/>
      <c r="K90" s="95"/>
      <c r="L90" s="95"/>
      <c r="M90" s="95"/>
      <c r="N90" s="95"/>
      <c r="O90" s="95"/>
      <c r="P90" s="95"/>
      <c r="Q90" s="95"/>
      <c r="R90" s="95"/>
    </row>
    <row r="91" spans="1:19" s="31" customFormat="1" x14ac:dyDescent="0.2">
      <c r="A91" s="36"/>
      <c r="B91" s="139" t="str">
        <f>'Expenses Summary'!B47</f>
        <v>4100</v>
      </c>
      <c r="C91" s="139" t="str">
        <f>'Expenses Summary'!C47</f>
        <v>Approved Textbooks and Core Curricula Materials</v>
      </c>
      <c r="D91" s="64">
        <f>IF('Expenses Summary'!$G47="","",IF('Cash Flow %s Yr4'!D91="","",'Cash Flow %s Yr4'!D91*'Expenses Summary'!$G47))</f>
        <v>0</v>
      </c>
      <c r="E91" s="64">
        <f>IF('Expenses Summary'!$G47="","",IF('Cash Flow %s Yr4'!E91="","",'Cash Flow %s Yr4'!E91*'Expenses Summary'!$G47))</f>
        <v>0</v>
      </c>
      <c r="F91" s="64">
        <f>IF('Expenses Summary'!$G47="","",IF('Cash Flow %s Yr4'!F91="","",'Cash Flow %s Yr4'!F91*'Expenses Summary'!$G47))</f>
        <v>0</v>
      </c>
      <c r="G91" s="64">
        <f>IF('Expenses Summary'!$G47="","",IF('Cash Flow %s Yr4'!G91="","",'Cash Flow %s Yr4'!G91*'Expenses Summary'!$G47))</f>
        <v>0</v>
      </c>
      <c r="H91" s="64">
        <f>IF('Expenses Summary'!$G47="","",IF('Cash Flow %s Yr4'!H91="","",'Cash Flow %s Yr4'!H91*'Expenses Summary'!$G47))</f>
        <v>7179.931190437499</v>
      </c>
      <c r="I91" s="64">
        <f>IF('Expenses Summary'!$G47="","",IF('Cash Flow %s Yr4'!I91="","",'Cash Flow %s Yr4'!I91*'Expenses Summary'!$G47))</f>
        <v>7179.931190437499</v>
      </c>
      <c r="J91" s="64">
        <f>IF('Expenses Summary'!$G47="","",IF('Cash Flow %s Yr4'!J91="","",'Cash Flow %s Yr4'!J91*'Expenses Summary'!$G47))</f>
        <v>7179.931190437499</v>
      </c>
      <c r="K91" s="64">
        <f>IF('Expenses Summary'!$G47="","",IF('Cash Flow %s Yr4'!K91="","",'Cash Flow %s Yr4'!K91*'Expenses Summary'!$G47))</f>
        <v>0</v>
      </c>
      <c r="L91" s="64">
        <f>IF('Expenses Summary'!$G47="","",IF('Cash Flow %s Yr4'!L91="","",'Cash Flow %s Yr4'!L91*'Expenses Summary'!$G47))</f>
        <v>7179.931190437499</v>
      </c>
      <c r="M91" s="64">
        <f>IF('Expenses Summary'!$G47="","",IF('Cash Flow %s Yr4'!M91="","",'Cash Flow %s Yr4'!M91*'Expenses Summary'!$G47))</f>
        <v>0</v>
      </c>
      <c r="N91" s="64">
        <f>IF('Expenses Summary'!$G47="","",IF('Cash Flow %s Yr4'!N91="","",'Cash Flow %s Yr4'!N91*'Expenses Summary'!$G47))</f>
        <v>0</v>
      </c>
      <c r="O91" s="64">
        <f>IF('Expenses Summary'!$G47="","",IF('Cash Flow %s Yr4'!O91="","",'Cash Flow %s Yr4'!O91*'Expenses Summary'!$G47))</f>
        <v>0</v>
      </c>
      <c r="P91" s="129"/>
      <c r="Q91" s="129"/>
      <c r="R91" s="129"/>
      <c r="S91" s="111">
        <f>IF(SUM(D91:R91)&gt;0,SUM(D91:R91)/'Expenses Summary'!$G47,"")</f>
        <v>1</v>
      </c>
    </row>
    <row r="92" spans="1:19" x14ac:dyDescent="0.2">
      <c r="A92" s="36"/>
      <c r="B92" s="139" t="str">
        <f>'Expenses Summary'!B48</f>
        <v>4200</v>
      </c>
      <c r="C92" s="139" t="str">
        <f>'Expenses Summary'!C48</f>
        <v>Books and Other Reference Materials</v>
      </c>
      <c r="D92" s="64">
        <f>IF('Expenses Summary'!$G48="","",IF('Cash Flow %s Yr4'!D92="","",'Cash Flow %s Yr4'!D92*'Expenses Summary'!$G48))</f>
        <v>0</v>
      </c>
      <c r="E92" s="64">
        <f>IF('Expenses Summary'!$G48="","",IF('Cash Flow %s Yr4'!E92="","",'Cash Flow %s Yr4'!E92*'Expenses Summary'!$G48))</f>
        <v>0</v>
      </c>
      <c r="F92" s="64">
        <f>IF('Expenses Summary'!$G48="","",IF('Cash Flow %s Yr4'!F92="","",'Cash Flow %s Yr4'!F92*'Expenses Summary'!$G48))</f>
        <v>0</v>
      </c>
      <c r="G92" s="64">
        <f>IF('Expenses Summary'!$G48="","",IF('Cash Flow %s Yr4'!G92="","",'Cash Flow %s Yr4'!G92*'Expenses Summary'!$G48))</f>
        <v>0</v>
      </c>
      <c r="H92" s="64">
        <f>IF('Expenses Summary'!$G48="","",IF('Cash Flow %s Yr4'!H92="","",'Cash Flow %s Yr4'!H92*'Expenses Summary'!$G48))</f>
        <v>552.40503862499997</v>
      </c>
      <c r="I92" s="64">
        <f>IF('Expenses Summary'!$G48="","",IF('Cash Flow %s Yr4'!I92="","",'Cash Flow %s Yr4'!I92*'Expenses Summary'!$G48))</f>
        <v>552.40503862499997</v>
      </c>
      <c r="J92" s="64">
        <f>IF('Expenses Summary'!$G48="","",IF('Cash Flow %s Yr4'!J92="","",'Cash Flow %s Yr4'!J92*'Expenses Summary'!$G48))</f>
        <v>552.40503862499997</v>
      </c>
      <c r="K92" s="64">
        <f>IF('Expenses Summary'!$G48="","",IF('Cash Flow %s Yr4'!K92="","",'Cash Flow %s Yr4'!K92*'Expenses Summary'!$G48))</f>
        <v>0</v>
      </c>
      <c r="L92" s="64">
        <f>IF('Expenses Summary'!$G48="","",IF('Cash Flow %s Yr4'!L92="","",'Cash Flow %s Yr4'!L92*'Expenses Summary'!$G48))</f>
        <v>552.40503862499997</v>
      </c>
      <c r="M92" s="64">
        <f>IF('Expenses Summary'!$G48="","",IF('Cash Flow %s Yr4'!M92="","",'Cash Flow %s Yr4'!M92*'Expenses Summary'!$G48))</f>
        <v>0</v>
      </c>
      <c r="N92" s="64">
        <f>IF('Expenses Summary'!$G48="","",IF('Cash Flow %s Yr4'!N92="","",'Cash Flow %s Yr4'!N92*'Expenses Summary'!$G48))</f>
        <v>0</v>
      </c>
      <c r="O92" s="64">
        <f>IF('Expenses Summary'!$G48="","",IF('Cash Flow %s Yr4'!O92="","",'Cash Flow %s Yr4'!O92*'Expenses Summary'!$G48))</f>
        <v>0</v>
      </c>
      <c r="P92" s="129"/>
      <c r="Q92" s="129"/>
      <c r="R92" s="129"/>
      <c r="S92" s="111">
        <f>IF(SUM(D92:R92)&gt;0,SUM(D92:R92)/'Expenses Summary'!$G48,"")</f>
        <v>1</v>
      </c>
    </row>
    <row r="93" spans="1:19" x14ac:dyDescent="0.2">
      <c r="A93" s="36"/>
      <c r="B93" s="139" t="str">
        <f>'Expenses Summary'!B49</f>
        <v>4300</v>
      </c>
      <c r="C93" s="139" t="str">
        <f>'Expenses Summary'!C49</f>
        <v>Materials and Supplies</v>
      </c>
      <c r="D93" s="64">
        <f>IF('Expenses Summary'!$G49="","",IF('Cash Flow %s Yr4'!D93="","",'Cash Flow %s Yr4'!D93*'Expenses Summary'!$G49))</f>
        <v>0</v>
      </c>
      <c r="E93" s="64">
        <f>IF('Expenses Summary'!$G49="","",IF('Cash Flow %s Yr4'!E93="","",'Cash Flow %s Yr4'!E93*'Expenses Summary'!$G49))</f>
        <v>0</v>
      </c>
      <c r="F93" s="64">
        <f>IF('Expenses Summary'!$G49="","",IF('Cash Flow %s Yr4'!F93="","",'Cash Flow %s Yr4'!F93*'Expenses Summary'!$G49))</f>
        <v>1725.1048945349996</v>
      </c>
      <c r="G93" s="64">
        <f>IF('Expenses Summary'!$G49="","",IF('Cash Flow %s Yr4'!G93="","",'Cash Flow %s Yr4'!G93*'Expenses Summary'!$G49))</f>
        <v>0</v>
      </c>
      <c r="H93" s="64">
        <f>IF('Expenses Summary'!$G49="","",IF('Cash Flow %s Yr4'!H93="","",'Cash Flow %s Yr4'!H93*'Expenses Summary'!$G49))</f>
        <v>1725.1048945349996</v>
      </c>
      <c r="I93" s="64">
        <f>IF('Expenses Summary'!$G49="","",IF('Cash Flow %s Yr4'!I93="","",'Cash Flow %s Yr4'!I93*'Expenses Summary'!$G49))</f>
        <v>0</v>
      </c>
      <c r="J93" s="64">
        <f>IF('Expenses Summary'!$G49="","",IF('Cash Flow %s Yr4'!J93="","",'Cash Flow %s Yr4'!J93*'Expenses Summary'!$G49))</f>
        <v>1725.1048945349996</v>
      </c>
      <c r="K93" s="64">
        <f>IF('Expenses Summary'!$G49="","",IF('Cash Flow %s Yr4'!K93="","",'Cash Flow %s Yr4'!K93*'Expenses Summary'!$G49))</f>
        <v>0</v>
      </c>
      <c r="L93" s="64">
        <f>IF('Expenses Summary'!$G49="","",IF('Cash Flow %s Yr4'!L93="","",'Cash Flow %s Yr4'!L93*'Expenses Summary'!$G49))</f>
        <v>575.03496484499999</v>
      </c>
      <c r="M93" s="64">
        <f>IF('Expenses Summary'!$G49="","",IF('Cash Flow %s Yr4'!M93="","",'Cash Flow %s Yr4'!M93*'Expenses Summary'!$G49))</f>
        <v>0</v>
      </c>
      <c r="N93" s="64">
        <f>IF('Expenses Summary'!$G49="","",IF('Cash Flow %s Yr4'!N93="","",'Cash Flow %s Yr4'!N93*'Expenses Summary'!$G49))</f>
        <v>0</v>
      </c>
      <c r="O93" s="64">
        <f>IF('Expenses Summary'!$G49="","",IF('Cash Flow %s Yr4'!O93="","",'Cash Flow %s Yr4'!O93*'Expenses Summary'!$G49))</f>
        <v>0</v>
      </c>
      <c r="P93" s="129"/>
      <c r="Q93" s="129"/>
      <c r="R93" s="129"/>
      <c r="S93" s="111">
        <f>IF(SUM(D93:R93)&gt;0,SUM(D93:R93)/'Expenses Summary'!$G49,"")</f>
        <v>1</v>
      </c>
    </row>
    <row r="94" spans="1:19" x14ac:dyDescent="0.2">
      <c r="A94" s="36"/>
      <c r="B94" s="139" t="str">
        <f>'Expenses Summary'!B50</f>
        <v>4315</v>
      </c>
      <c r="C94" s="139" t="str">
        <f>'Expenses Summary'!C50</f>
        <v>Classroom Materials and Supplies</v>
      </c>
      <c r="D94" s="64">
        <f>IF('Expenses Summary'!$G50="","",IF('Cash Flow %s Yr4'!D94="","",'Cash Flow %s Yr4'!D94*'Expenses Summary'!$G50))</f>
        <v>0</v>
      </c>
      <c r="E94" s="64">
        <f>IF('Expenses Summary'!$G50="","",IF('Cash Flow %s Yr4'!E94="","",'Cash Flow %s Yr4'!E94*'Expenses Summary'!$G50))</f>
        <v>0</v>
      </c>
      <c r="F94" s="64">
        <f>IF('Expenses Summary'!$G50="","",IF('Cash Flow %s Yr4'!F94="","",'Cash Flow %s Yr4'!F94*'Expenses Summary'!$G50))</f>
        <v>374.88821171999996</v>
      </c>
      <c r="G94" s="64">
        <f>IF('Expenses Summary'!$G50="","",IF('Cash Flow %s Yr4'!G94="","",'Cash Flow %s Yr4'!G94*'Expenses Summary'!$G50))</f>
        <v>374.88821171999996</v>
      </c>
      <c r="H94" s="64">
        <f>IF('Expenses Summary'!$G50="","",IF('Cash Flow %s Yr4'!H94="","",'Cash Flow %s Yr4'!H94*'Expenses Summary'!$G50))</f>
        <v>749.77642343999992</v>
      </c>
      <c r="I94" s="64">
        <f>IF('Expenses Summary'!$G50="","",IF('Cash Flow %s Yr4'!I94="","",'Cash Flow %s Yr4'!I94*'Expenses Summary'!$G50))</f>
        <v>374.88821171999996</v>
      </c>
      <c r="J94" s="64">
        <f>IF('Expenses Summary'!$G50="","",IF('Cash Flow %s Yr4'!J94="","",'Cash Flow %s Yr4'!J94*'Expenses Summary'!$G50))</f>
        <v>749.77642343999992</v>
      </c>
      <c r="K94" s="64">
        <f>IF('Expenses Summary'!$G50="","",IF('Cash Flow %s Yr4'!K94="","",'Cash Flow %s Yr4'!K94*'Expenses Summary'!$G50))</f>
        <v>374.88821171999996</v>
      </c>
      <c r="L94" s="64">
        <f>IF('Expenses Summary'!$G50="","",IF('Cash Flow %s Yr4'!L94="","",'Cash Flow %s Yr4'!L94*'Expenses Summary'!$G50))</f>
        <v>374.88821171999996</v>
      </c>
      <c r="M94" s="64">
        <f>IF('Expenses Summary'!$G50="","",IF('Cash Flow %s Yr4'!M94="","",'Cash Flow %s Yr4'!M94*'Expenses Summary'!$G50))</f>
        <v>374.88821171999996</v>
      </c>
      <c r="N94" s="64">
        <f>IF('Expenses Summary'!$G50="","",IF('Cash Flow %s Yr4'!N94="","",'Cash Flow %s Yr4'!N94*'Expenses Summary'!$G50))</f>
        <v>0</v>
      </c>
      <c r="O94" s="64">
        <f>IF('Expenses Summary'!$G50="","",IF('Cash Flow %s Yr4'!O94="","",'Cash Flow %s Yr4'!O94*'Expenses Summary'!$G50))</f>
        <v>0</v>
      </c>
      <c r="P94" s="129"/>
      <c r="Q94" s="129"/>
      <c r="R94" s="129"/>
      <c r="S94" s="111">
        <f>IF(SUM(D94:R94)&gt;0,SUM(D94:R94)/'Expenses Summary'!$G50,"")</f>
        <v>1.0000000000000002</v>
      </c>
    </row>
    <row r="95" spans="1:19" x14ac:dyDescent="0.2">
      <c r="A95" s="36"/>
      <c r="B95" s="139" t="str">
        <f>'Expenses Summary'!B51</f>
        <v>4400</v>
      </c>
      <c r="C95" s="139" t="str">
        <f>'Expenses Summary'!C51</f>
        <v>Noncapitalized Equipment</v>
      </c>
      <c r="D95" s="64">
        <f>IF('Expenses Summary'!$G51="","",IF('Cash Flow %s Yr4'!D95="","",'Cash Flow %s Yr4'!D95*'Expenses Summary'!$G51))</f>
        <v>870.31725000000006</v>
      </c>
      <c r="E95" s="64">
        <f>IF('Expenses Summary'!$G51="","",IF('Cash Flow %s Yr4'!E95="","",'Cash Flow %s Yr4'!E95*'Expenses Summary'!$G51))</f>
        <v>870.31725000000006</v>
      </c>
      <c r="F95" s="64">
        <f>IF('Expenses Summary'!$G51="","",IF('Cash Flow %s Yr4'!F95="","",'Cash Flow %s Yr4'!F95*'Expenses Summary'!$G51))</f>
        <v>870.31725000000006</v>
      </c>
      <c r="G95" s="64">
        <f>IF('Expenses Summary'!$G51="","",IF('Cash Flow %s Yr4'!G95="","",'Cash Flow %s Yr4'!G95*'Expenses Summary'!$G51))</f>
        <v>870.31725000000006</v>
      </c>
      <c r="H95" s="64">
        <f>IF('Expenses Summary'!$G51="","",IF('Cash Flow %s Yr4'!H95="","",'Cash Flow %s Yr4'!H95*'Expenses Summary'!$G51))</f>
        <v>870.31725000000006</v>
      </c>
      <c r="I95" s="64">
        <f>IF('Expenses Summary'!$G51="","",IF('Cash Flow %s Yr4'!I95="","",'Cash Flow %s Yr4'!I95*'Expenses Summary'!$G51))</f>
        <v>870.31725000000006</v>
      </c>
      <c r="J95" s="64">
        <f>IF('Expenses Summary'!$G51="","",IF('Cash Flow %s Yr4'!J95="","",'Cash Flow %s Yr4'!J95*'Expenses Summary'!$G51))</f>
        <v>870.31725000000006</v>
      </c>
      <c r="K95" s="64">
        <f>IF('Expenses Summary'!$G51="","",IF('Cash Flow %s Yr4'!K95="","",'Cash Flow %s Yr4'!K95*'Expenses Summary'!$G51))</f>
        <v>870.31725000000006</v>
      </c>
      <c r="L95" s="64">
        <f>IF('Expenses Summary'!$G51="","",IF('Cash Flow %s Yr4'!L95="","",'Cash Flow %s Yr4'!L95*'Expenses Summary'!$G51))</f>
        <v>880.80300000000011</v>
      </c>
      <c r="M95" s="64">
        <f>IF('Expenses Summary'!$G51="","",IF('Cash Flow %s Yr4'!M95="","",'Cash Flow %s Yr4'!M95*'Expenses Summary'!$G51))</f>
        <v>880.80300000000011</v>
      </c>
      <c r="N95" s="64">
        <f>IF('Expenses Summary'!$G51="","",IF('Cash Flow %s Yr4'!N95="","",'Cash Flow %s Yr4'!N95*'Expenses Summary'!$G51))</f>
        <v>880.80300000000011</v>
      </c>
      <c r="O95" s="64">
        <f>IF('Expenses Summary'!$G51="","",IF('Cash Flow %s Yr4'!O95="","",'Cash Flow %s Yr4'!O95*'Expenses Summary'!$G51))</f>
        <v>880.80300000000011</v>
      </c>
      <c r="P95" s="129"/>
      <c r="Q95" s="129"/>
      <c r="R95" s="129"/>
      <c r="S95" s="111">
        <f>IF(SUM(D95:R95)&gt;0,SUM(D95:R95)/'Expenses Summary'!$G51,"")</f>
        <v>1</v>
      </c>
    </row>
    <row r="96" spans="1:19" x14ac:dyDescent="0.2">
      <c r="A96" s="36"/>
      <c r="B96" s="139" t="str">
        <f>'Expenses Summary'!B52</f>
        <v>4430</v>
      </c>
      <c r="C96" s="139" t="str">
        <f>'Expenses Summary'!C52</f>
        <v>General Student Equipment</v>
      </c>
      <c r="D96" s="64">
        <f>IF('Expenses Summary'!$G52="","",IF('Cash Flow %s Yr4'!D96="","",'Cash Flow %s Yr4'!D96*'Expenses Summary'!$G52))</f>
        <v>0</v>
      </c>
      <c r="E96" s="64">
        <f>IF('Expenses Summary'!$G52="","",IF('Cash Flow %s Yr4'!E96="","",'Cash Flow %s Yr4'!E96*'Expenses Summary'!$G52))</f>
        <v>0</v>
      </c>
      <c r="F96" s="64">
        <f>IF('Expenses Summary'!$G52="","",IF('Cash Flow %s Yr4'!F96="","",'Cash Flow %s Yr4'!F96*'Expenses Summary'!$G52))</f>
        <v>2568.9236057099988</v>
      </c>
      <c r="G96" s="64">
        <f>IF('Expenses Summary'!$G52="","",IF('Cash Flow %s Yr4'!G96="","",'Cash Flow %s Yr4'!G96*'Expenses Summary'!$G52))</f>
        <v>0</v>
      </c>
      <c r="H96" s="64">
        <f>IF('Expenses Summary'!$G52="","",IF('Cash Flow %s Yr4'!H96="","",'Cash Flow %s Yr4'!H96*'Expenses Summary'!$G52))</f>
        <v>0</v>
      </c>
      <c r="I96" s="64">
        <f>IF('Expenses Summary'!$G52="","",IF('Cash Flow %s Yr4'!I96="","",'Cash Flow %s Yr4'!I96*'Expenses Summary'!$G52))</f>
        <v>0</v>
      </c>
      <c r="J96" s="64">
        <f>IF('Expenses Summary'!$G52="","",IF('Cash Flow %s Yr4'!J96="","",'Cash Flow %s Yr4'!J96*'Expenses Summary'!$G52))</f>
        <v>1712.6157371399995</v>
      </c>
      <c r="K96" s="64">
        <f>IF('Expenses Summary'!$G52="","",IF('Cash Flow %s Yr4'!K96="","",'Cash Flow %s Yr4'!K96*'Expenses Summary'!$G52))</f>
        <v>0</v>
      </c>
      <c r="L96" s="64">
        <f>IF('Expenses Summary'!$G52="","",IF('Cash Flow %s Yr4'!L96="","",'Cash Flow %s Yr4'!L96*'Expenses Summary'!$G52))</f>
        <v>0</v>
      </c>
      <c r="M96" s="64">
        <f>IF('Expenses Summary'!$G52="","",IF('Cash Flow %s Yr4'!M96="","",'Cash Flow %s Yr4'!M96*'Expenses Summary'!$G52))</f>
        <v>0</v>
      </c>
      <c r="N96" s="64">
        <f>IF('Expenses Summary'!$G52="","",IF('Cash Flow %s Yr4'!N96="","",'Cash Flow %s Yr4'!N96*'Expenses Summary'!$G52))</f>
        <v>0</v>
      </c>
      <c r="O96" s="64">
        <f>IF('Expenses Summary'!$G52="","",IF('Cash Flow %s Yr4'!O96="","",'Cash Flow %s Yr4'!O96*'Expenses Summary'!$G52))</f>
        <v>0</v>
      </c>
      <c r="P96" s="129"/>
      <c r="Q96" s="129"/>
      <c r="R96" s="129"/>
      <c r="S96" s="111">
        <f>IF(SUM(D96:R96)&gt;0,SUM(D96:R96)/'Expenses Summary'!$G52,"")</f>
        <v>1</v>
      </c>
    </row>
    <row r="97" spans="1:19" hidden="1" outlineLevel="1" x14ac:dyDescent="0.2">
      <c r="A97" s="36"/>
      <c r="B97" s="139">
        <f>'Expenses Summary'!B53</f>
        <v>0</v>
      </c>
      <c r="C97" s="139">
        <f>'Expenses Summary'!C53</f>
        <v>0</v>
      </c>
      <c r="D97" s="64" t="str">
        <f>IF('Expenses Summary'!$G53="","",IF('Cash Flow %s Yr4'!D97="","",'Cash Flow %s Yr4'!D97*'Expenses Summary'!$G53))</f>
        <v/>
      </c>
      <c r="E97" s="64" t="str">
        <f>IF('Expenses Summary'!$G53="","",IF('Cash Flow %s Yr4'!E97="","",'Cash Flow %s Yr4'!E97*'Expenses Summary'!$G53))</f>
        <v/>
      </c>
      <c r="F97" s="64" t="str">
        <f>IF('Expenses Summary'!$G53="","",IF('Cash Flow %s Yr4'!F97="","",'Cash Flow %s Yr4'!F97*'Expenses Summary'!$G53))</f>
        <v/>
      </c>
      <c r="G97" s="64" t="str">
        <f>IF('Expenses Summary'!$G53="","",IF('Cash Flow %s Yr4'!G97="","",'Cash Flow %s Yr4'!G97*'Expenses Summary'!$G53))</f>
        <v/>
      </c>
      <c r="H97" s="64" t="str">
        <f>IF('Expenses Summary'!$G53="","",IF('Cash Flow %s Yr4'!H97="","",'Cash Flow %s Yr4'!H97*'Expenses Summary'!$G53))</f>
        <v/>
      </c>
      <c r="I97" s="64" t="str">
        <f>IF('Expenses Summary'!$G53="","",IF('Cash Flow %s Yr4'!I97="","",'Cash Flow %s Yr4'!I97*'Expenses Summary'!$G53))</f>
        <v/>
      </c>
      <c r="J97" s="64" t="str">
        <f>IF('Expenses Summary'!$G53="","",IF('Cash Flow %s Yr4'!J97="","",'Cash Flow %s Yr4'!J97*'Expenses Summary'!$G53))</f>
        <v/>
      </c>
      <c r="K97" s="64" t="str">
        <f>IF('Expenses Summary'!$G53="","",IF('Cash Flow %s Yr4'!K97="","",'Cash Flow %s Yr4'!K97*'Expenses Summary'!$G53))</f>
        <v/>
      </c>
      <c r="L97" s="64" t="str">
        <f>IF('Expenses Summary'!$G53="","",IF('Cash Flow %s Yr4'!L97="","",'Cash Flow %s Yr4'!L97*'Expenses Summary'!$G53))</f>
        <v/>
      </c>
      <c r="M97" s="64" t="str">
        <f>IF('Expenses Summary'!$G53="","",IF('Cash Flow %s Yr4'!M97="","",'Cash Flow %s Yr4'!M97*'Expenses Summary'!$G53))</f>
        <v/>
      </c>
      <c r="N97" s="64" t="str">
        <f>IF('Expenses Summary'!$G53="","",IF('Cash Flow %s Yr4'!N97="","",'Cash Flow %s Yr4'!N97*'Expenses Summary'!$G53))</f>
        <v/>
      </c>
      <c r="O97" s="64" t="str">
        <f>IF('Expenses Summary'!$G53="","",IF('Cash Flow %s Yr4'!O97="","",'Cash Flow %s Yr4'!O97*'Expenses Summary'!$G53))</f>
        <v/>
      </c>
      <c r="P97" s="129"/>
      <c r="Q97" s="129"/>
      <c r="R97" s="129"/>
      <c r="S97" s="111"/>
    </row>
    <row r="98" spans="1:19" hidden="1" outlineLevel="1" x14ac:dyDescent="0.2">
      <c r="A98" s="36"/>
      <c r="B98" s="139">
        <f>'Expenses Summary'!B54</f>
        <v>0</v>
      </c>
      <c r="C98" s="139">
        <f>'Expenses Summary'!C54</f>
        <v>0</v>
      </c>
      <c r="D98" s="64" t="str">
        <f>IF('Expenses Summary'!$G54="","",IF('Cash Flow %s Yr4'!D98="","",'Cash Flow %s Yr4'!D98*'Expenses Summary'!$G54))</f>
        <v/>
      </c>
      <c r="E98" s="64" t="str">
        <f>IF('Expenses Summary'!$G54="","",IF('Cash Flow %s Yr4'!E98="","",'Cash Flow %s Yr4'!E98*'Expenses Summary'!$G54))</f>
        <v/>
      </c>
      <c r="F98" s="64" t="str">
        <f>IF('Expenses Summary'!$G54="","",IF('Cash Flow %s Yr4'!F98="","",'Cash Flow %s Yr4'!F98*'Expenses Summary'!$G54))</f>
        <v/>
      </c>
      <c r="G98" s="64" t="str">
        <f>IF('Expenses Summary'!$G54="","",IF('Cash Flow %s Yr4'!G98="","",'Cash Flow %s Yr4'!G98*'Expenses Summary'!$G54))</f>
        <v/>
      </c>
      <c r="H98" s="64" t="str">
        <f>IF('Expenses Summary'!$G54="","",IF('Cash Flow %s Yr4'!H98="","",'Cash Flow %s Yr4'!H98*'Expenses Summary'!$G54))</f>
        <v/>
      </c>
      <c r="I98" s="64" t="str">
        <f>IF('Expenses Summary'!$G54="","",IF('Cash Flow %s Yr4'!I98="","",'Cash Flow %s Yr4'!I98*'Expenses Summary'!$G54))</f>
        <v/>
      </c>
      <c r="J98" s="64" t="str">
        <f>IF('Expenses Summary'!$G54="","",IF('Cash Flow %s Yr4'!J98="","",'Cash Flow %s Yr4'!J98*'Expenses Summary'!$G54))</f>
        <v/>
      </c>
      <c r="K98" s="64" t="str">
        <f>IF('Expenses Summary'!$G54="","",IF('Cash Flow %s Yr4'!K98="","",'Cash Flow %s Yr4'!K98*'Expenses Summary'!$G54))</f>
        <v/>
      </c>
      <c r="L98" s="64" t="str">
        <f>IF('Expenses Summary'!$G54="","",IF('Cash Flow %s Yr4'!L98="","",'Cash Flow %s Yr4'!L98*'Expenses Summary'!$G54))</f>
        <v/>
      </c>
      <c r="M98" s="64" t="str">
        <f>IF('Expenses Summary'!$G54="","",IF('Cash Flow %s Yr4'!M98="","",'Cash Flow %s Yr4'!M98*'Expenses Summary'!$G54))</f>
        <v/>
      </c>
      <c r="N98" s="64" t="str">
        <f>IF('Expenses Summary'!$G54="","",IF('Cash Flow %s Yr4'!N98="","",'Cash Flow %s Yr4'!N98*'Expenses Summary'!$G54))</f>
        <v/>
      </c>
      <c r="O98" s="64" t="str">
        <f>IF('Expenses Summary'!$G54="","",IF('Cash Flow %s Yr4'!O98="","",'Cash Flow %s Yr4'!O98*'Expenses Summary'!$G54))</f>
        <v/>
      </c>
      <c r="P98" s="129"/>
      <c r="Q98" s="129"/>
      <c r="R98" s="129"/>
      <c r="S98" s="111"/>
    </row>
    <row r="99" spans="1:19" hidden="1" outlineLevel="1" x14ac:dyDescent="0.2">
      <c r="A99" s="36"/>
      <c r="B99" s="139">
        <f>'Expenses Summary'!B55</f>
        <v>0</v>
      </c>
      <c r="C99" s="139">
        <f>'Expenses Summary'!C55</f>
        <v>0</v>
      </c>
      <c r="D99" s="64" t="str">
        <f>IF('Expenses Summary'!$G55="","",IF('Cash Flow %s Yr4'!D99="","",'Cash Flow %s Yr4'!D99*'Expenses Summary'!$G55))</f>
        <v/>
      </c>
      <c r="E99" s="64" t="str">
        <f>IF('Expenses Summary'!$G55="","",IF('Cash Flow %s Yr4'!E99="","",'Cash Flow %s Yr4'!E99*'Expenses Summary'!$G55))</f>
        <v/>
      </c>
      <c r="F99" s="64" t="str">
        <f>IF('Expenses Summary'!$G55="","",IF('Cash Flow %s Yr4'!F99="","",'Cash Flow %s Yr4'!F99*'Expenses Summary'!$G55))</f>
        <v/>
      </c>
      <c r="G99" s="64" t="str">
        <f>IF('Expenses Summary'!$G55="","",IF('Cash Flow %s Yr4'!G99="","",'Cash Flow %s Yr4'!G99*'Expenses Summary'!$G55))</f>
        <v/>
      </c>
      <c r="H99" s="64" t="str">
        <f>IF('Expenses Summary'!$G55="","",IF('Cash Flow %s Yr4'!H99="","",'Cash Flow %s Yr4'!H99*'Expenses Summary'!$G55))</f>
        <v/>
      </c>
      <c r="I99" s="64" t="str">
        <f>IF('Expenses Summary'!$G55="","",IF('Cash Flow %s Yr4'!I99="","",'Cash Flow %s Yr4'!I99*'Expenses Summary'!$G55))</f>
        <v/>
      </c>
      <c r="J99" s="64" t="str">
        <f>IF('Expenses Summary'!$G55="","",IF('Cash Flow %s Yr4'!J99="","",'Cash Flow %s Yr4'!J99*'Expenses Summary'!$G55))</f>
        <v/>
      </c>
      <c r="K99" s="64" t="str">
        <f>IF('Expenses Summary'!$G55="","",IF('Cash Flow %s Yr4'!K99="","",'Cash Flow %s Yr4'!K99*'Expenses Summary'!$G55))</f>
        <v/>
      </c>
      <c r="L99" s="64" t="str">
        <f>IF('Expenses Summary'!$G55="","",IF('Cash Flow %s Yr4'!L99="","",'Cash Flow %s Yr4'!L99*'Expenses Summary'!$G55))</f>
        <v/>
      </c>
      <c r="M99" s="64" t="str">
        <f>IF('Expenses Summary'!$G55="","",IF('Cash Flow %s Yr4'!M99="","",'Cash Flow %s Yr4'!M99*'Expenses Summary'!$G55))</f>
        <v/>
      </c>
      <c r="N99" s="64" t="str">
        <f>IF('Expenses Summary'!$G55="","",IF('Cash Flow %s Yr4'!N99="","",'Cash Flow %s Yr4'!N99*'Expenses Summary'!$G55))</f>
        <v/>
      </c>
      <c r="O99" s="64" t="str">
        <f>IF('Expenses Summary'!$G55="","",IF('Cash Flow %s Yr4'!O99="","",'Cash Flow %s Yr4'!O99*'Expenses Summary'!$G55))</f>
        <v/>
      </c>
      <c r="P99" s="129"/>
      <c r="Q99" s="129"/>
      <c r="R99" s="129"/>
      <c r="S99" s="111"/>
    </row>
    <row r="100" spans="1:19" hidden="1" outlineLevel="1" x14ac:dyDescent="0.2">
      <c r="A100" s="36"/>
      <c r="B100" s="139">
        <f>'Expenses Summary'!B56</f>
        <v>0</v>
      </c>
      <c r="C100" s="139">
        <f>'Expenses Summary'!C56</f>
        <v>0</v>
      </c>
      <c r="D100" s="64" t="str">
        <f>IF('Expenses Summary'!$G56="","",IF('Cash Flow %s Yr4'!D100="","",'Cash Flow %s Yr4'!D100*'Expenses Summary'!$G56))</f>
        <v/>
      </c>
      <c r="E100" s="64" t="str">
        <f>IF('Expenses Summary'!$G56="","",IF('Cash Flow %s Yr4'!E100="","",'Cash Flow %s Yr4'!E100*'Expenses Summary'!$G56))</f>
        <v/>
      </c>
      <c r="F100" s="64" t="str">
        <f>IF('Expenses Summary'!$G56="","",IF('Cash Flow %s Yr4'!F100="","",'Cash Flow %s Yr4'!F100*'Expenses Summary'!$G56))</f>
        <v/>
      </c>
      <c r="G100" s="64" t="str">
        <f>IF('Expenses Summary'!$G56="","",IF('Cash Flow %s Yr4'!G100="","",'Cash Flow %s Yr4'!G100*'Expenses Summary'!$G56))</f>
        <v/>
      </c>
      <c r="H100" s="64" t="str">
        <f>IF('Expenses Summary'!$G56="","",IF('Cash Flow %s Yr4'!H100="","",'Cash Flow %s Yr4'!H100*'Expenses Summary'!$G56))</f>
        <v/>
      </c>
      <c r="I100" s="64" t="str">
        <f>IF('Expenses Summary'!$G56="","",IF('Cash Flow %s Yr4'!I100="","",'Cash Flow %s Yr4'!I100*'Expenses Summary'!$G56))</f>
        <v/>
      </c>
      <c r="J100" s="64" t="str">
        <f>IF('Expenses Summary'!$G56="","",IF('Cash Flow %s Yr4'!J100="","",'Cash Flow %s Yr4'!J100*'Expenses Summary'!$G56))</f>
        <v/>
      </c>
      <c r="K100" s="64" t="str">
        <f>IF('Expenses Summary'!$G56="","",IF('Cash Flow %s Yr4'!K100="","",'Cash Flow %s Yr4'!K100*'Expenses Summary'!$G56))</f>
        <v/>
      </c>
      <c r="L100" s="64" t="str">
        <f>IF('Expenses Summary'!$G56="","",IF('Cash Flow %s Yr4'!L100="","",'Cash Flow %s Yr4'!L100*'Expenses Summary'!$G56))</f>
        <v/>
      </c>
      <c r="M100" s="64" t="str">
        <f>IF('Expenses Summary'!$G56="","",IF('Cash Flow %s Yr4'!M100="","",'Cash Flow %s Yr4'!M100*'Expenses Summary'!$G56))</f>
        <v/>
      </c>
      <c r="N100" s="64" t="str">
        <f>IF('Expenses Summary'!$G56="","",IF('Cash Flow %s Yr4'!N100="","",'Cash Flow %s Yr4'!N100*'Expenses Summary'!$G56))</f>
        <v/>
      </c>
      <c r="O100" s="64" t="str">
        <f>IF('Expenses Summary'!$G56="","",IF('Cash Flow %s Yr4'!O100="","",'Cash Flow %s Yr4'!O100*'Expenses Summary'!$G56))</f>
        <v/>
      </c>
      <c r="P100" s="129"/>
      <c r="Q100" s="129"/>
      <c r="R100" s="129"/>
      <c r="S100" s="111"/>
    </row>
    <row r="101" spans="1:19" hidden="1" outlineLevel="1" x14ac:dyDescent="0.2">
      <c r="A101" s="36"/>
      <c r="B101" s="139">
        <f>'Expenses Summary'!B57</f>
        <v>0</v>
      </c>
      <c r="C101" s="139">
        <f>'Expenses Summary'!C57</f>
        <v>0</v>
      </c>
      <c r="D101" s="64" t="str">
        <f>IF('Expenses Summary'!$G57="","",IF('Cash Flow %s Yr4'!D101="","",'Cash Flow %s Yr4'!D101*'Expenses Summary'!$G57))</f>
        <v/>
      </c>
      <c r="E101" s="64" t="str">
        <f>IF('Expenses Summary'!$G57="","",IF('Cash Flow %s Yr4'!E101="","",'Cash Flow %s Yr4'!E101*'Expenses Summary'!$G57))</f>
        <v/>
      </c>
      <c r="F101" s="64" t="str">
        <f>IF('Expenses Summary'!$G57="","",IF('Cash Flow %s Yr4'!F101="","",'Cash Flow %s Yr4'!F101*'Expenses Summary'!$G57))</f>
        <v/>
      </c>
      <c r="G101" s="64" t="str">
        <f>IF('Expenses Summary'!$G57="","",IF('Cash Flow %s Yr4'!G101="","",'Cash Flow %s Yr4'!G101*'Expenses Summary'!$G57))</f>
        <v/>
      </c>
      <c r="H101" s="64" t="str">
        <f>IF('Expenses Summary'!$G57="","",IF('Cash Flow %s Yr4'!H101="","",'Cash Flow %s Yr4'!H101*'Expenses Summary'!$G57))</f>
        <v/>
      </c>
      <c r="I101" s="64" t="str">
        <f>IF('Expenses Summary'!$G57="","",IF('Cash Flow %s Yr4'!I101="","",'Cash Flow %s Yr4'!I101*'Expenses Summary'!$G57))</f>
        <v/>
      </c>
      <c r="J101" s="64" t="str">
        <f>IF('Expenses Summary'!$G57="","",IF('Cash Flow %s Yr4'!J101="","",'Cash Flow %s Yr4'!J101*'Expenses Summary'!$G57))</f>
        <v/>
      </c>
      <c r="K101" s="64" t="str">
        <f>IF('Expenses Summary'!$G57="","",IF('Cash Flow %s Yr4'!K101="","",'Cash Flow %s Yr4'!K101*'Expenses Summary'!$G57))</f>
        <v/>
      </c>
      <c r="L101" s="64" t="str">
        <f>IF('Expenses Summary'!$G57="","",IF('Cash Flow %s Yr4'!L101="","",'Cash Flow %s Yr4'!L101*'Expenses Summary'!$G57))</f>
        <v/>
      </c>
      <c r="M101" s="64" t="str">
        <f>IF('Expenses Summary'!$G57="","",IF('Cash Flow %s Yr4'!M101="","",'Cash Flow %s Yr4'!M101*'Expenses Summary'!$G57))</f>
        <v/>
      </c>
      <c r="N101" s="64" t="str">
        <f>IF('Expenses Summary'!$G57="","",IF('Cash Flow %s Yr4'!N101="","",'Cash Flow %s Yr4'!N101*'Expenses Summary'!$G57))</f>
        <v/>
      </c>
      <c r="O101" s="64" t="str">
        <f>IF('Expenses Summary'!$G57="","",IF('Cash Flow %s Yr4'!O101="","",'Cash Flow %s Yr4'!O101*'Expenses Summary'!$G57))</f>
        <v/>
      </c>
      <c r="P101" s="129"/>
      <c r="Q101" s="129"/>
      <c r="R101" s="129"/>
      <c r="S101" s="111"/>
    </row>
    <row r="102" spans="1:19" hidden="1" outlineLevel="1" x14ac:dyDescent="0.2">
      <c r="A102" s="36"/>
      <c r="B102" s="139">
        <f>'Expenses Summary'!B58</f>
        <v>0</v>
      </c>
      <c r="C102" s="139">
        <f>'Expenses Summary'!C58</f>
        <v>0</v>
      </c>
      <c r="D102" s="64" t="str">
        <f>IF('Expenses Summary'!$G58="","",IF('Cash Flow %s Yr4'!D102="","",'Cash Flow %s Yr4'!D102*'Expenses Summary'!$G58))</f>
        <v/>
      </c>
      <c r="E102" s="64" t="str">
        <f>IF('Expenses Summary'!$G58="","",IF('Cash Flow %s Yr4'!E102="","",'Cash Flow %s Yr4'!E102*'Expenses Summary'!$G58))</f>
        <v/>
      </c>
      <c r="F102" s="64" t="str">
        <f>IF('Expenses Summary'!$G58="","",IF('Cash Flow %s Yr4'!F102="","",'Cash Flow %s Yr4'!F102*'Expenses Summary'!$G58))</f>
        <v/>
      </c>
      <c r="G102" s="64" t="str">
        <f>IF('Expenses Summary'!$G58="","",IF('Cash Flow %s Yr4'!G102="","",'Cash Flow %s Yr4'!G102*'Expenses Summary'!$G58))</f>
        <v/>
      </c>
      <c r="H102" s="64" t="str">
        <f>IF('Expenses Summary'!$G58="","",IF('Cash Flow %s Yr4'!H102="","",'Cash Flow %s Yr4'!H102*'Expenses Summary'!$G58))</f>
        <v/>
      </c>
      <c r="I102" s="64" t="str">
        <f>IF('Expenses Summary'!$G58="","",IF('Cash Flow %s Yr4'!I102="","",'Cash Flow %s Yr4'!I102*'Expenses Summary'!$G58))</f>
        <v/>
      </c>
      <c r="J102" s="64" t="str">
        <f>IF('Expenses Summary'!$G58="","",IF('Cash Flow %s Yr4'!J102="","",'Cash Flow %s Yr4'!J102*'Expenses Summary'!$G58))</f>
        <v/>
      </c>
      <c r="K102" s="64" t="str">
        <f>IF('Expenses Summary'!$G58="","",IF('Cash Flow %s Yr4'!K102="","",'Cash Flow %s Yr4'!K102*'Expenses Summary'!$G58))</f>
        <v/>
      </c>
      <c r="L102" s="64" t="str">
        <f>IF('Expenses Summary'!$G58="","",IF('Cash Flow %s Yr4'!L102="","",'Cash Flow %s Yr4'!L102*'Expenses Summary'!$G58))</f>
        <v/>
      </c>
      <c r="M102" s="64" t="str">
        <f>IF('Expenses Summary'!$G58="","",IF('Cash Flow %s Yr4'!M102="","",'Cash Flow %s Yr4'!M102*'Expenses Summary'!$G58))</f>
        <v/>
      </c>
      <c r="N102" s="64" t="str">
        <f>IF('Expenses Summary'!$G58="","",IF('Cash Flow %s Yr4'!N102="","",'Cash Flow %s Yr4'!N102*'Expenses Summary'!$G58))</f>
        <v/>
      </c>
      <c r="O102" s="64" t="str">
        <f>IF('Expenses Summary'!$G58="","",IF('Cash Flow %s Yr4'!O102="","",'Cash Flow %s Yr4'!O102*'Expenses Summary'!$G58))</f>
        <v/>
      </c>
      <c r="P102" s="129"/>
      <c r="Q102" s="129"/>
      <c r="R102" s="129"/>
      <c r="S102" s="111"/>
    </row>
    <row r="103" spans="1:19" hidden="1" outlineLevel="1" x14ac:dyDescent="0.2">
      <c r="A103" s="36"/>
      <c r="B103" s="139">
        <f>'Expenses Summary'!B59</f>
        <v>0</v>
      </c>
      <c r="C103" s="139">
        <f>'Expenses Summary'!C59</f>
        <v>0</v>
      </c>
      <c r="D103" s="64" t="str">
        <f>IF('Expenses Summary'!$G59="","",IF('Cash Flow %s Yr4'!D103="","",'Cash Flow %s Yr4'!D103*'Expenses Summary'!$G59))</f>
        <v/>
      </c>
      <c r="E103" s="64" t="str">
        <f>IF('Expenses Summary'!$G59="","",IF('Cash Flow %s Yr4'!E103="","",'Cash Flow %s Yr4'!E103*'Expenses Summary'!$G59))</f>
        <v/>
      </c>
      <c r="F103" s="64" t="str">
        <f>IF('Expenses Summary'!$G59="","",IF('Cash Flow %s Yr4'!F103="","",'Cash Flow %s Yr4'!F103*'Expenses Summary'!$G59))</f>
        <v/>
      </c>
      <c r="G103" s="64" t="str">
        <f>IF('Expenses Summary'!$G59="","",IF('Cash Flow %s Yr4'!G103="","",'Cash Flow %s Yr4'!G103*'Expenses Summary'!$G59))</f>
        <v/>
      </c>
      <c r="H103" s="64" t="str">
        <f>IF('Expenses Summary'!$G59="","",IF('Cash Flow %s Yr4'!H103="","",'Cash Flow %s Yr4'!H103*'Expenses Summary'!$G59))</f>
        <v/>
      </c>
      <c r="I103" s="64" t="str">
        <f>IF('Expenses Summary'!$G59="","",IF('Cash Flow %s Yr4'!I103="","",'Cash Flow %s Yr4'!I103*'Expenses Summary'!$G59))</f>
        <v/>
      </c>
      <c r="J103" s="64" t="str">
        <f>IF('Expenses Summary'!$G59="","",IF('Cash Flow %s Yr4'!J103="","",'Cash Flow %s Yr4'!J103*'Expenses Summary'!$G59))</f>
        <v/>
      </c>
      <c r="K103" s="64" t="str">
        <f>IF('Expenses Summary'!$G59="","",IF('Cash Flow %s Yr4'!K103="","",'Cash Flow %s Yr4'!K103*'Expenses Summary'!$G59))</f>
        <v/>
      </c>
      <c r="L103" s="64" t="str">
        <f>IF('Expenses Summary'!$G59="","",IF('Cash Flow %s Yr4'!L103="","",'Cash Flow %s Yr4'!L103*'Expenses Summary'!$G59))</f>
        <v/>
      </c>
      <c r="M103" s="64" t="str">
        <f>IF('Expenses Summary'!$G59="","",IF('Cash Flow %s Yr4'!M103="","",'Cash Flow %s Yr4'!M103*'Expenses Summary'!$G59))</f>
        <v/>
      </c>
      <c r="N103" s="64" t="str">
        <f>IF('Expenses Summary'!$G59="","",IF('Cash Flow %s Yr4'!N103="","",'Cash Flow %s Yr4'!N103*'Expenses Summary'!$G59))</f>
        <v/>
      </c>
      <c r="O103" s="64" t="str">
        <f>IF('Expenses Summary'!$G59="","",IF('Cash Flow %s Yr4'!O103="","",'Cash Flow %s Yr4'!O103*'Expenses Summary'!$G59))</f>
        <v/>
      </c>
      <c r="P103" s="129"/>
      <c r="Q103" s="129"/>
      <c r="R103" s="129"/>
      <c r="S103" s="111"/>
    </row>
    <row r="104" spans="1:19" hidden="1" outlineLevel="1" x14ac:dyDescent="0.2">
      <c r="A104" s="36"/>
      <c r="B104" s="139">
        <f>'Expenses Summary'!B60</f>
        <v>0</v>
      </c>
      <c r="C104" s="139">
        <f>'Expenses Summary'!C60</f>
        <v>0</v>
      </c>
      <c r="D104" s="64" t="str">
        <f>IF('Expenses Summary'!$G60="","",IF('Cash Flow %s Yr4'!D104="","",'Cash Flow %s Yr4'!D104*'Expenses Summary'!$G60))</f>
        <v/>
      </c>
      <c r="E104" s="64" t="str">
        <f>IF('Expenses Summary'!$G60="","",IF('Cash Flow %s Yr4'!E104="","",'Cash Flow %s Yr4'!E104*'Expenses Summary'!$G60))</f>
        <v/>
      </c>
      <c r="F104" s="64" t="str">
        <f>IF('Expenses Summary'!$G60="","",IF('Cash Flow %s Yr4'!F104="","",'Cash Flow %s Yr4'!F104*'Expenses Summary'!$G60))</f>
        <v/>
      </c>
      <c r="G104" s="64" t="str">
        <f>IF('Expenses Summary'!$G60="","",IF('Cash Flow %s Yr4'!G104="","",'Cash Flow %s Yr4'!G104*'Expenses Summary'!$G60))</f>
        <v/>
      </c>
      <c r="H104" s="64" t="str">
        <f>IF('Expenses Summary'!$G60="","",IF('Cash Flow %s Yr4'!H104="","",'Cash Flow %s Yr4'!H104*'Expenses Summary'!$G60))</f>
        <v/>
      </c>
      <c r="I104" s="64" t="str">
        <f>IF('Expenses Summary'!$G60="","",IF('Cash Flow %s Yr4'!I104="","",'Cash Flow %s Yr4'!I104*'Expenses Summary'!$G60))</f>
        <v/>
      </c>
      <c r="J104" s="64" t="str">
        <f>IF('Expenses Summary'!$G60="","",IF('Cash Flow %s Yr4'!J104="","",'Cash Flow %s Yr4'!J104*'Expenses Summary'!$G60))</f>
        <v/>
      </c>
      <c r="K104" s="64" t="str">
        <f>IF('Expenses Summary'!$G60="","",IF('Cash Flow %s Yr4'!K104="","",'Cash Flow %s Yr4'!K104*'Expenses Summary'!$G60))</f>
        <v/>
      </c>
      <c r="L104" s="64" t="str">
        <f>IF('Expenses Summary'!$G60="","",IF('Cash Flow %s Yr4'!L104="","",'Cash Flow %s Yr4'!L104*'Expenses Summary'!$G60))</f>
        <v/>
      </c>
      <c r="M104" s="64" t="str">
        <f>IF('Expenses Summary'!$G60="","",IF('Cash Flow %s Yr4'!M104="","",'Cash Flow %s Yr4'!M104*'Expenses Summary'!$G60))</f>
        <v/>
      </c>
      <c r="N104" s="64" t="str">
        <f>IF('Expenses Summary'!$G60="","",IF('Cash Flow %s Yr4'!N104="","",'Cash Flow %s Yr4'!N104*'Expenses Summary'!$G60))</f>
        <v/>
      </c>
      <c r="O104" s="64" t="str">
        <f>IF('Expenses Summary'!$G60="","",IF('Cash Flow %s Yr4'!O104="","",'Cash Flow %s Yr4'!O104*'Expenses Summary'!$G60))</f>
        <v/>
      </c>
      <c r="P104" s="129"/>
      <c r="Q104" s="129"/>
      <c r="R104" s="129"/>
      <c r="S104" s="111"/>
    </row>
    <row r="105" spans="1:19" hidden="1" outlineLevel="1" x14ac:dyDescent="0.2">
      <c r="A105" s="36"/>
      <c r="B105" s="139">
        <f>'Expenses Summary'!B61</f>
        <v>0</v>
      </c>
      <c r="C105" s="139">
        <f>'Expenses Summary'!C61</f>
        <v>0</v>
      </c>
      <c r="D105" s="64" t="str">
        <f>IF('Expenses Summary'!$G61="","",IF('Cash Flow %s Yr4'!D105="","",'Cash Flow %s Yr4'!D105*'Expenses Summary'!$G61))</f>
        <v/>
      </c>
      <c r="E105" s="64" t="str">
        <f>IF('Expenses Summary'!$G61="","",IF('Cash Flow %s Yr4'!E105="","",'Cash Flow %s Yr4'!E105*'Expenses Summary'!$G61))</f>
        <v/>
      </c>
      <c r="F105" s="64" t="str">
        <f>IF('Expenses Summary'!$G61="","",IF('Cash Flow %s Yr4'!F105="","",'Cash Flow %s Yr4'!F105*'Expenses Summary'!$G61))</f>
        <v/>
      </c>
      <c r="G105" s="64" t="str">
        <f>IF('Expenses Summary'!$G61="","",IF('Cash Flow %s Yr4'!G105="","",'Cash Flow %s Yr4'!G105*'Expenses Summary'!$G61))</f>
        <v/>
      </c>
      <c r="H105" s="64" t="str">
        <f>IF('Expenses Summary'!$G61="","",IF('Cash Flow %s Yr4'!H105="","",'Cash Flow %s Yr4'!H105*'Expenses Summary'!$G61))</f>
        <v/>
      </c>
      <c r="I105" s="64" t="str">
        <f>IF('Expenses Summary'!$G61="","",IF('Cash Flow %s Yr4'!I105="","",'Cash Flow %s Yr4'!I105*'Expenses Summary'!$G61))</f>
        <v/>
      </c>
      <c r="J105" s="64" t="str">
        <f>IF('Expenses Summary'!$G61="","",IF('Cash Flow %s Yr4'!J105="","",'Cash Flow %s Yr4'!J105*'Expenses Summary'!$G61))</f>
        <v/>
      </c>
      <c r="K105" s="64" t="str">
        <f>IF('Expenses Summary'!$G61="","",IF('Cash Flow %s Yr4'!K105="","",'Cash Flow %s Yr4'!K105*'Expenses Summary'!$G61))</f>
        <v/>
      </c>
      <c r="L105" s="64" t="str">
        <f>IF('Expenses Summary'!$G61="","",IF('Cash Flow %s Yr4'!L105="","",'Cash Flow %s Yr4'!L105*'Expenses Summary'!$G61))</f>
        <v/>
      </c>
      <c r="M105" s="64" t="str">
        <f>IF('Expenses Summary'!$G61="","",IF('Cash Flow %s Yr4'!M105="","",'Cash Flow %s Yr4'!M105*'Expenses Summary'!$G61))</f>
        <v/>
      </c>
      <c r="N105" s="64" t="str">
        <f>IF('Expenses Summary'!$G61="","",IF('Cash Flow %s Yr4'!N105="","",'Cash Flow %s Yr4'!N105*'Expenses Summary'!$G61))</f>
        <v/>
      </c>
      <c r="O105" s="64" t="str">
        <f>IF('Expenses Summary'!$G61="","",IF('Cash Flow %s Yr4'!O105="","",'Cash Flow %s Yr4'!O105*'Expenses Summary'!$G61))</f>
        <v/>
      </c>
      <c r="P105" s="129"/>
      <c r="Q105" s="129"/>
      <c r="R105" s="129"/>
      <c r="S105" s="111"/>
    </row>
    <row r="106" spans="1:19" hidden="1" outlineLevel="1" x14ac:dyDescent="0.2">
      <c r="A106" s="36"/>
      <c r="B106" s="139">
        <f>'Expenses Summary'!B62</f>
        <v>0</v>
      </c>
      <c r="C106" s="139">
        <f>'Expenses Summary'!C62</f>
        <v>0</v>
      </c>
      <c r="D106" s="64" t="str">
        <f>IF('Expenses Summary'!$G62="","",IF('Cash Flow %s Yr4'!D106="","",'Cash Flow %s Yr4'!D106*'Expenses Summary'!$G62))</f>
        <v/>
      </c>
      <c r="E106" s="64" t="str">
        <f>IF('Expenses Summary'!$G62="","",IF('Cash Flow %s Yr4'!E106="","",'Cash Flow %s Yr4'!E106*'Expenses Summary'!$G62))</f>
        <v/>
      </c>
      <c r="F106" s="64" t="str">
        <f>IF('Expenses Summary'!$G62="","",IF('Cash Flow %s Yr4'!F106="","",'Cash Flow %s Yr4'!F106*'Expenses Summary'!$G62))</f>
        <v/>
      </c>
      <c r="G106" s="64" t="str">
        <f>IF('Expenses Summary'!$G62="","",IF('Cash Flow %s Yr4'!G106="","",'Cash Flow %s Yr4'!G106*'Expenses Summary'!$G62))</f>
        <v/>
      </c>
      <c r="H106" s="64" t="str">
        <f>IF('Expenses Summary'!$G62="","",IF('Cash Flow %s Yr4'!H106="","",'Cash Flow %s Yr4'!H106*'Expenses Summary'!$G62))</f>
        <v/>
      </c>
      <c r="I106" s="64" t="str">
        <f>IF('Expenses Summary'!$G62="","",IF('Cash Flow %s Yr4'!I106="","",'Cash Flow %s Yr4'!I106*'Expenses Summary'!$G62))</f>
        <v/>
      </c>
      <c r="J106" s="64" t="str">
        <f>IF('Expenses Summary'!$G62="","",IF('Cash Flow %s Yr4'!J106="","",'Cash Flow %s Yr4'!J106*'Expenses Summary'!$G62))</f>
        <v/>
      </c>
      <c r="K106" s="64" t="str">
        <f>IF('Expenses Summary'!$G62="","",IF('Cash Flow %s Yr4'!K106="","",'Cash Flow %s Yr4'!K106*'Expenses Summary'!$G62))</f>
        <v/>
      </c>
      <c r="L106" s="64" t="str">
        <f>IF('Expenses Summary'!$G62="","",IF('Cash Flow %s Yr4'!L106="","",'Cash Flow %s Yr4'!L106*'Expenses Summary'!$G62))</f>
        <v/>
      </c>
      <c r="M106" s="64" t="str">
        <f>IF('Expenses Summary'!$G62="","",IF('Cash Flow %s Yr4'!M106="","",'Cash Flow %s Yr4'!M106*'Expenses Summary'!$G62))</f>
        <v/>
      </c>
      <c r="N106" s="64" t="str">
        <f>IF('Expenses Summary'!$G62="","",IF('Cash Flow %s Yr4'!N106="","",'Cash Flow %s Yr4'!N106*'Expenses Summary'!$G62))</f>
        <v/>
      </c>
      <c r="O106" s="64" t="str">
        <f>IF('Expenses Summary'!$G62="","",IF('Cash Flow %s Yr4'!O106="","",'Cash Flow %s Yr4'!O106*'Expenses Summary'!$G62))</f>
        <v/>
      </c>
      <c r="P106" s="129"/>
      <c r="Q106" s="129"/>
      <c r="R106" s="129"/>
      <c r="S106" s="111"/>
    </row>
    <row r="107" spans="1:19" s="31" customFormat="1" collapsed="1" x14ac:dyDescent="0.2">
      <c r="A107" s="36"/>
      <c r="B107" s="139" t="str">
        <f>'Expenses Summary'!B63</f>
        <v>4700</v>
      </c>
      <c r="C107" s="139" t="str">
        <f>'Expenses Summary'!C63</f>
        <v>Food and Food Supplies</v>
      </c>
      <c r="D107" s="64">
        <f>IF('Expenses Summary'!$G63="","",IF('Cash Flow %s Yr4'!D107="","",'Cash Flow %s Yr4'!D107*'Expenses Summary'!$G63))</f>
        <v>0</v>
      </c>
      <c r="E107" s="64">
        <f>IF('Expenses Summary'!$G63="","",IF('Cash Flow %s Yr4'!E107="","",'Cash Flow %s Yr4'!E107*'Expenses Summary'!$G63))</f>
        <v>0</v>
      </c>
      <c r="F107" s="64">
        <f>IF('Expenses Summary'!$G63="","",IF('Cash Flow %s Yr4'!F107="","",'Cash Flow %s Yr4'!F107*'Expenses Summary'!$G63))</f>
        <v>27.241307411999998</v>
      </c>
      <c r="G107" s="64">
        <f>IF('Expenses Summary'!$G63="","",IF('Cash Flow %s Yr4'!G107="","",'Cash Flow %s Yr4'!G107*'Expenses Summary'!$G63))</f>
        <v>0</v>
      </c>
      <c r="H107" s="64">
        <f>IF('Expenses Summary'!$G63="","",IF('Cash Flow %s Yr4'!H107="","",'Cash Flow %s Yr4'!H107*'Expenses Summary'!$G63))</f>
        <v>49.529649839999998</v>
      </c>
      <c r="I107" s="64">
        <f>IF('Expenses Summary'!$G63="","",IF('Cash Flow %s Yr4'!I107="","",'Cash Flow %s Yr4'!I107*'Expenses Summary'!$G63))</f>
        <v>49.529649839999998</v>
      </c>
      <c r="J107" s="64">
        <f>IF('Expenses Summary'!$G63="","",IF('Cash Flow %s Yr4'!J107="","",'Cash Flow %s Yr4'!J107*'Expenses Summary'!$G63))</f>
        <v>49.529649839999998</v>
      </c>
      <c r="K107" s="64">
        <f>IF('Expenses Summary'!$G63="","",IF('Cash Flow %s Yr4'!K107="","",'Cash Flow %s Yr4'!K107*'Expenses Summary'!$G63))</f>
        <v>49.529649839999998</v>
      </c>
      <c r="L107" s="64">
        <f>IF('Expenses Summary'!$G63="","",IF('Cash Flow %s Yr4'!L107="","",'Cash Flow %s Yr4'!L107*'Expenses Summary'!$G63))</f>
        <v>49.529649839999998</v>
      </c>
      <c r="M107" s="64">
        <f>IF('Expenses Summary'!$G63="","",IF('Cash Flow %s Yr4'!M107="","",'Cash Flow %s Yr4'!M107*'Expenses Summary'!$G63))</f>
        <v>49.529649839999998</v>
      </c>
      <c r="N107" s="64">
        <f>IF('Expenses Summary'!$G63="","",IF('Cash Flow %s Yr4'!N107="","",'Cash Flow %s Yr4'!N107*'Expenses Summary'!$G63))</f>
        <v>49.529649839999998</v>
      </c>
      <c r="O107" s="64">
        <f>IF('Expenses Summary'!$G63="","",IF('Cash Flow %s Yr4'!O107="","",'Cash Flow %s Yr4'!O107*'Expenses Summary'!$G63))</f>
        <v>49.529649839999998</v>
      </c>
      <c r="P107" s="129"/>
      <c r="Q107" s="129"/>
      <c r="R107" s="129"/>
      <c r="S107" s="111">
        <f>IF(SUM(D107:R107)&gt;0,SUM(D107:R107)/'Expenses Summary'!$G63,"")</f>
        <v>0.85499999999999998</v>
      </c>
    </row>
    <row r="108" spans="1:19" s="31" customFormat="1" x14ac:dyDescent="0.2">
      <c r="A108" s="36"/>
      <c r="B108" s="33" t="s">
        <v>558</v>
      </c>
      <c r="C108" s="34" t="s">
        <v>721</v>
      </c>
      <c r="D108" s="172">
        <f t="shared" ref="D108:O108" si="9">IF(SUM(D90:D107)&gt;0,SUM(D90:D107),"")</f>
        <v>870.31725000000006</v>
      </c>
      <c r="E108" s="172">
        <f t="shared" si="9"/>
        <v>870.31725000000006</v>
      </c>
      <c r="F108" s="172">
        <f t="shared" si="9"/>
        <v>5566.4752693769988</v>
      </c>
      <c r="G108" s="172">
        <f t="shared" si="9"/>
        <v>1245.2054617200001</v>
      </c>
      <c r="H108" s="172">
        <f t="shared" si="9"/>
        <v>11127.064446877499</v>
      </c>
      <c r="I108" s="172">
        <f t="shared" si="9"/>
        <v>9027.0713406224986</v>
      </c>
      <c r="J108" s="172">
        <f t="shared" si="9"/>
        <v>12839.680184017498</v>
      </c>
      <c r="K108" s="172">
        <f t="shared" si="9"/>
        <v>1294.7351115600002</v>
      </c>
      <c r="L108" s="172">
        <f t="shared" si="9"/>
        <v>9612.5920554674976</v>
      </c>
      <c r="M108" s="172">
        <f t="shared" si="9"/>
        <v>1305.22086156</v>
      </c>
      <c r="N108" s="172">
        <f t="shared" si="9"/>
        <v>930.33264984000016</v>
      </c>
      <c r="O108" s="172">
        <f t="shared" si="9"/>
        <v>930.33264984000016</v>
      </c>
      <c r="P108" s="108"/>
      <c r="Q108" s="108"/>
      <c r="R108" s="108"/>
      <c r="S108" s="107"/>
    </row>
    <row r="109" spans="1:19" s="31" customFormat="1" x14ac:dyDescent="0.2">
      <c r="A109" s="36"/>
      <c r="B109" s="4"/>
      <c r="C109" s="3"/>
      <c r="D109" s="95"/>
      <c r="E109" s="95"/>
      <c r="F109" s="95"/>
      <c r="G109" s="95"/>
      <c r="H109" s="95"/>
      <c r="I109" s="95"/>
      <c r="J109" s="95"/>
      <c r="K109" s="95"/>
      <c r="L109" s="95"/>
      <c r="M109" s="95"/>
      <c r="N109" s="95"/>
      <c r="O109" s="95"/>
      <c r="P109" s="95"/>
      <c r="Q109" s="95"/>
      <c r="R109" s="95"/>
    </row>
    <row r="110" spans="1:19" s="31" customFormat="1" x14ac:dyDescent="0.2">
      <c r="B110" s="5" t="s">
        <v>722</v>
      </c>
      <c r="C110" s="3"/>
      <c r="D110" s="95"/>
      <c r="E110" s="95"/>
      <c r="F110" s="95"/>
      <c r="G110" s="95"/>
      <c r="H110" s="95"/>
      <c r="I110" s="95"/>
      <c r="J110" s="95"/>
      <c r="K110" s="95"/>
      <c r="L110" s="95"/>
      <c r="M110" s="95"/>
      <c r="N110" s="95"/>
      <c r="O110" s="95"/>
      <c r="P110" s="95"/>
      <c r="Q110" s="95"/>
      <c r="R110" s="95"/>
    </row>
    <row r="111" spans="1:19" s="31" customFormat="1" x14ac:dyDescent="0.2">
      <c r="A111" s="36"/>
      <c r="B111" s="139" t="str">
        <f>'Expenses Summary'!B67</f>
        <v>5200</v>
      </c>
      <c r="C111" s="139" t="str">
        <f>'Expenses Summary'!C67</f>
        <v>Travel and Conferences</v>
      </c>
      <c r="D111" s="64">
        <f>IF('Expenses Summary'!$G67="","",IF('Cash Flow %s Yr4'!D111="","",'Cash Flow %s Yr4'!D111*'Expenses Summary'!$G67))</f>
        <v>0</v>
      </c>
      <c r="E111" s="64">
        <f>IF('Expenses Summary'!$G67="","",IF('Cash Flow %s Yr4'!E111="","",'Cash Flow %s Yr4'!E111*'Expenses Summary'!$G67))</f>
        <v>0</v>
      </c>
      <c r="F111" s="64">
        <f>IF('Expenses Summary'!$G67="","",IF('Cash Flow %s Yr4'!F111="","",'Cash Flow %s Yr4'!F111*'Expenses Summary'!$G67))</f>
        <v>1586.122989165</v>
      </c>
      <c r="G111" s="64">
        <f>IF('Expenses Summary'!$G67="","",IF('Cash Flow %s Yr4'!G111="","",'Cash Flow %s Yr4'!G111*'Expenses Summary'!$G67))</f>
        <v>528.70766305500001</v>
      </c>
      <c r="H111" s="64">
        <f>IF('Expenses Summary'!$G67="","",IF('Cash Flow %s Yr4'!H111="","",'Cash Flow %s Yr4'!H111*'Expenses Summary'!$G67))</f>
        <v>528.70766305500001</v>
      </c>
      <c r="I111" s="64">
        <f>IF('Expenses Summary'!$G67="","",IF('Cash Flow %s Yr4'!I111="","",'Cash Flow %s Yr4'!I111*'Expenses Summary'!$G67))</f>
        <v>528.70766305500001</v>
      </c>
      <c r="J111" s="64">
        <f>IF('Expenses Summary'!$G67="","",IF('Cash Flow %s Yr4'!J111="","",'Cash Flow %s Yr4'!J111*'Expenses Summary'!$G67))</f>
        <v>528.70766305500001</v>
      </c>
      <c r="K111" s="64">
        <f>IF('Expenses Summary'!$G67="","",IF('Cash Flow %s Yr4'!K111="","",'Cash Flow %s Yr4'!K111*'Expenses Summary'!$G67))</f>
        <v>528.70766305500001</v>
      </c>
      <c r="L111" s="64">
        <f>IF('Expenses Summary'!$G67="","",IF('Cash Flow %s Yr4'!L111="","",'Cash Flow %s Yr4'!L111*'Expenses Summary'!$G67))</f>
        <v>528.70766305500001</v>
      </c>
      <c r="M111" s="64">
        <f>IF('Expenses Summary'!$G67="","",IF('Cash Flow %s Yr4'!M111="","",'Cash Flow %s Yr4'!M111*'Expenses Summary'!$G67))</f>
        <v>528.70766305500001</v>
      </c>
      <c r="N111" s="64">
        <f>IF('Expenses Summary'!$G67="","",IF('Cash Flow %s Yr4'!N111="","",'Cash Flow %s Yr4'!N111*'Expenses Summary'!$G67))</f>
        <v>0</v>
      </c>
      <c r="O111" s="64">
        <f>IF('Expenses Summary'!$G67="","",IF('Cash Flow %s Yr4'!O111="","",'Cash Flow %s Yr4'!O111*'Expenses Summary'!$G67))</f>
        <v>0</v>
      </c>
      <c r="P111" s="129"/>
      <c r="Q111" s="129"/>
      <c r="R111" s="129"/>
      <c r="S111" s="111">
        <f>IF(SUM(D111:R111)&gt;0,SUM(D111:R111)/'Expenses Summary'!$G67,"")</f>
        <v>1</v>
      </c>
    </row>
    <row r="112" spans="1:19" s="31" customFormat="1" x14ac:dyDescent="0.2">
      <c r="A112" s="36"/>
      <c r="B112" s="139" t="str">
        <f>'Expenses Summary'!B68</f>
        <v>5210</v>
      </c>
      <c r="C112" s="139" t="str">
        <f>'Expenses Summary'!C68</f>
        <v>Training and Development Expense</v>
      </c>
      <c r="D112" s="64">
        <f>IF('Expenses Summary'!$G68="","",IF('Cash Flow %s Yr4'!D112="","",'Cash Flow %s Yr4'!D112*'Expenses Summary'!$G68))</f>
        <v>0</v>
      </c>
      <c r="E112" s="64">
        <f>IF('Expenses Summary'!$G68="","",IF('Cash Flow %s Yr4'!E112="","",'Cash Flow %s Yr4'!E112*'Expenses Summary'!$G68))</f>
        <v>0</v>
      </c>
      <c r="F112" s="64">
        <f>IF('Expenses Summary'!$G68="","",IF('Cash Flow %s Yr4'!F112="","",'Cash Flow %s Yr4'!F112*'Expenses Summary'!$G68))</f>
        <v>1245.0729218399997</v>
      </c>
      <c r="G112" s="64">
        <f>IF('Expenses Summary'!$G68="","",IF('Cash Flow %s Yr4'!G112="","",'Cash Flow %s Yr4'!G112*'Expenses Summary'!$G68))</f>
        <v>0</v>
      </c>
      <c r="H112" s="64">
        <f>IF('Expenses Summary'!$G68="","",IF('Cash Flow %s Yr4'!H112="","",'Cash Flow %s Yr4'!H112*'Expenses Summary'!$G68))</f>
        <v>0</v>
      </c>
      <c r="I112" s="64">
        <f>IF('Expenses Summary'!$G68="","",IF('Cash Flow %s Yr4'!I112="","",'Cash Flow %s Yr4'!I112*'Expenses Summary'!$G68))</f>
        <v>0</v>
      </c>
      <c r="J112" s="64">
        <f>IF('Expenses Summary'!$G68="","",IF('Cash Flow %s Yr4'!J112="","",'Cash Flow %s Yr4'!J112*'Expenses Summary'!$G68))</f>
        <v>0</v>
      </c>
      <c r="K112" s="64">
        <f>IF('Expenses Summary'!$G68="","",IF('Cash Flow %s Yr4'!K112="","",'Cash Flow %s Yr4'!K112*'Expenses Summary'!$G68))</f>
        <v>0</v>
      </c>
      <c r="L112" s="64">
        <f>IF('Expenses Summary'!$G68="","",IF('Cash Flow %s Yr4'!L112="","",'Cash Flow %s Yr4'!L112*'Expenses Summary'!$G68))</f>
        <v>138.34143575999997</v>
      </c>
      <c r="M112" s="64">
        <f>IF('Expenses Summary'!$G68="","",IF('Cash Flow %s Yr4'!M112="","",'Cash Flow %s Yr4'!M112*'Expenses Summary'!$G68))</f>
        <v>0</v>
      </c>
      <c r="N112" s="64">
        <f>IF('Expenses Summary'!$G68="","",IF('Cash Flow %s Yr4'!N112="","",'Cash Flow %s Yr4'!N112*'Expenses Summary'!$G68))</f>
        <v>0</v>
      </c>
      <c r="O112" s="64">
        <f>IF('Expenses Summary'!$G68="","",IF('Cash Flow %s Yr4'!O112="","",'Cash Flow %s Yr4'!O112*'Expenses Summary'!$G68))</f>
        <v>0</v>
      </c>
      <c r="P112" s="129"/>
      <c r="Q112" s="129"/>
      <c r="R112" s="129"/>
      <c r="S112" s="111">
        <f>IF(SUM(D112:R112)&gt;0,SUM(D112:R112)/'Expenses Summary'!$G68,"")</f>
        <v>1</v>
      </c>
    </row>
    <row r="113" spans="1:19" s="31" customFormat="1" x14ac:dyDescent="0.2">
      <c r="A113" s="36"/>
      <c r="B113" s="139" t="str">
        <f>'Expenses Summary'!B69</f>
        <v>5300</v>
      </c>
      <c r="C113" s="139" t="str">
        <f>'Expenses Summary'!C69</f>
        <v>Dues and Memberships</v>
      </c>
      <c r="D113" s="64">
        <f>IF('Expenses Summary'!$G69="","",IF('Cash Flow %s Yr4'!D113="","",'Cash Flow %s Yr4'!D113*'Expenses Summary'!$G69))</f>
        <v>0</v>
      </c>
      <c r="E113" s="64">
        <f>IF('Expenses Summary'!$G69="","",IF('Cash Flow %s Yr4'!E113="","",'Cash Flow %s Yr4'!E113*'Expenses Summary'!$G69))</f>
        <v>0</v>
      </c>
      <c r="F113" s="64">
        <f>IF('Expenses Summary'!$G69="","",IF('Cash Flow %s Yr4'!F113="","",'Cash Flow %s Yr4'!F113*'Expenses Summary'!$G69))</f>
        <v>2437.6273356599995</v>
      </c>
      <c r="G113" s="64">
        <f>IF('Expenses Summary'!$G69="","",IF('Cash Flow %s Yr4'!G113="","",'Cash Flow %s Yr4'!G113*'Expenses Summary'!$G69))</f>
        <v>812.54244521999999</v>
      </c>
      <c r="H113" s="64">
        <f>IF('Expenses Summary'!$G69="","",IF('Cash Flow %s Yr4'!H113="","",'Cash Flow %s Yr4'!H113*'Expenses Summary'!$G69))</f>
        <v>812.54244521999999</v>
      </c>
      <c r="I113" s="64">
        <f>IF('Expenses Summary'!$G69="","",IF('Cash Flow %s Yr4'!I113="","",'Cash Flow %s Yr4'!I113*'Expenses Summary'!$G69))</f>
        <v>812.54244521999999</v>
      </c>
      <c r="J113" s="64">
        <f>IF('Expenses Summary'!$G69="","",IF('Cash Flow %s Yr4'!J113="","",'Cash Flow %s Yr4'!J113*'Expenses Summary'!$G69))</f>
        <v>812.54244521999999</v>
      </c>
      <c r="K113" s="64">
        <f>IF('Expenses Summary'!$G69="","",IF('Cash Flow %s Yr4'!K113="","",'Cash Flow %s Yr4'!K113*'Expenses Summary'!$G69))</f>
        <v>812.54244521999999</v>
      </c>
      <c r="L113" s="64">
        <f>IF('Expenses Summary'!$G69="","",IF('Cash Flow %s Yr4'!L113="","",'Cash Flow %s Yr4'!L113*'Expenses Summary'!$G69))</f>
        <v>812.54244521999999</v>
      </c>
      <c r="M113" s="64">
        <f>IF('Expenses Summary'!$G69="","",IF('Cash Flow %s Yr4'!M113="","",'Cash Flow %s Yr4'!M113*'Expenses Summary'!$G69))</f>
        <v>812.54244521999999</v>
      </c>
      <c r="N113" s="64">
        <f>IF('Expenses Summary'!$G69="","",IF('Cash Flow %s Yr4'!N113="","",'Cash Flow %s Yr4'!N113*'Expenses Summary'!$G69))</f>
        <v>0</v>
      </c>
      <c r="O113" s="64">
        <f>IF('Expenses Summary'!$G69="","",IF('Cash Flow %s Yr4'!O113="","",'Cash Flow %s Yr4'!O113*'Expenses Summary'!$G69))</f>
        <v>0</v>
      </c>
      <c r="P113" s="129"/>
      <c r="Q113" s="129"/>
      <c r="R113" s="129"/>
      <c r="S113" s="111">
        <f>IF(SUM(D113:R113)&gt;0,SUM(D113:R113)/'Expenses Summary'!$G69,"")</f>
        <v>1.0000000000000002</v>
      </c>
    </row>
    <row r="114" spans="1:19" s="31" customFormat="1" x14ac:dyDescent="0.2">
      <c r="A114" s="36"/>
      <c r="B114" s="139" t="str">
        <f>'Expenses Summary'!B70</f>
        <v>5400</v>
      </c>
      <c r="C114" s="139" t="str">
        <f>'Expenses Summary'!C70</f>
        <v>Insurance</v>
      </c>
      <c r="D114" s="64">
        <f>IF('Expenses Summary'!$G70="","",IF('Cash Flow %s Yr4'!D114="","",'Cash Flow %s Yr4'!D114*'Expenses Summary'!$G70))</f>
        <v>0</v>
      </c>
      <c r="E114" s="64">
        <f>IF('Expenses Summary'!$G70="","",IF('Cash Flow %s Yr4'!E114="","",'Cash Flow %s Yr4'!E114*'Expenses Summary'!$G70))</f>
        <v>0</v>
      </c>
      <c r="F114" s="64">
        <f>IF('Expenses Summary'!$G70="","",IF('Cash Flow %s Yr4'!F114="","",'Cash Flow %s Yr4'!F114*'Expenses Summary'!$G70))</f>
        <v>4763.8129591799989</v>
      </c>
      <c r="G114" s="64">
        <f>IF('Expenses Summary'!$G70="","",IF('Cash Flow %s Yr4'!G114="","",'Cash Flow %s Yr4'!G114*'Expenses Summary'!$G70))</f>
        <v>1587.9376530599998</v>
      </c>
      <c r="H114" s="64">
        <f>IF('Expenses Summary'!$G70="","",IF('Cash Flow %s Yr4'!H114="","",'Cash Flow %s Yr4'!H114*'Expenses Summary'!$G70))</f>
        <v>1587.9376530599998</v>
      </c>
      <c r="I114" s="64">
        <f>IF('Expenses Summary'!$G70="","",IF('Cash Flow %s Yr4'!I114="","",'Cash Flow %s Yr4'!I114*'Expenses Summary'!$G70))</f>
        <v>1587.9376530599998</v>
      </c>
      <c r="J114" s="64">
        <f>IF('Expenses Summary'!$G70="","",IF('Cash Flow %s Yr4'!J114="","",'Cash Flow %s Yr4'!J114*'Expenses Summary'!$G70))</f>
        <v>1587.9376530599998</v>
      </c>
      <c r="K114" s="64">
        <f>IF('Expenses Summary'!$G70="","",IF('Cash Flow %s Yr4'!K114="","",'Cash Flow %s Yr4'!K114*'Expenses Summary'!$G70))</f>
        <v>1587.9376530599998</v>
      </c>
      <c r="L114" s="64">
        <f>IF('Expenses Summary'!$G70="","",IF('Cash Flow %s Yr4'!L114="","",'Cash Flow %s Yr4'!L114*'Expenses Summary'!$G70))</f>
        <v>1587.9376530599998</v>
      </c>
      <c r="M114" s="64">
        <f>IF('Expenses Summary'!$G70="","",IF('Cash Flow %s Yr4'!M114="","",'Cash Flow %s Yr4'!M114*'Expenses Summary'!$G70))</f>
        <v>1587.9376530599998</v>
      </c>
      <c r="N114" s="64">
        <f>IF('Expenses Summary'!$G70="","",IF('Cash Flow %s Yr4'!N114="","",'Cash Flow %s Yr4'!N114*'Expenses Summary'!$G70))</f>
        <v>0</v>
      </c>
      <c r="O114" s="64">
        <f>IF('Expenses Summary'!$G70="","",IF('Cash Flow %s Yr4'!O114="","",'Cash Flow %s Yr4'!O114*'Expenses Summary'!$G70))</f>
        <v>0</v>
      </c>
      <c r="P114" s="129"/>
      <c r="Q114" s="129"/>
      <c r="R114" s="129"/>
      <c r="S114" s="111">
        <f>IF(SUM(D114:R114)&gt;0,SUM(D114:R114)/'Expenses Summary'!$G70,"")</f>
        <v>1.0000000000000002</v>
      </c>
    </row>
    <row r="115" spans="1:19" s="31" customFormat="1" x14ac:dyDescent="0.2">
      <c r="A115" s="36"/>
      <c r="B115" s="139" t="e">
        <f>'Expenses Summary'!#REF!</f>
        <v>#REF!</v>
      </c>
      <c r="C115" s="139" t="e">
        <f>'Expenses Summary'!#REF!</f>
        <v>#REF!</v>
      </c>
      <c r="D115" s="64" t="e">
        <f>IF('Expenses Summary'!#REF!="","",IF('Cash Flow %s Yr4'!D115="","",'Cash Flow %s Yr4'!D115*'Expenses Summary'!#REF!))</f>
        <v>#REF!</v>
      </c>
      <c r="E115" s="64" t="e">
        <f>IF('Expenses Summary'!#REF!="","",IF('Cash Flow %s Yr4'!E115="","",'Cash Flow %s Yr4'!E115*'Expenses Summary'!#REF!))</f>
        <v>#REF!</v>
      </c>
      <c r="F115" s="64" t="e">
        <f>IF('Expenses Summary'!#REF!="","",IF('Cash Flow %s Yr4'!F115="","",'Cash Flow %s Yr4'!F115*'Expenses Summary'!#REF!))</f>
        <v>#REF!</v>
      </c>
      <c r="G115" s="64" t="e">
        <f>IF('Expenses Summary'!#REF!="","",IF('Cash Flow %s Yr4'!G115="","",'Cash Flow %s Yr4'!G115*'Expenses Summary'!#REF!))</f>
        <v>#REF!</v>
      </c>
      <c r="H115" s="64" t="e">
        <f>IF('Expenses Summary'!#REF!="","",IF('Cash Flow %s Yr4'!H115="","",'Cash Flow %s Yr4'!H115*'Expenses Summary'!#REF!))</f>
        <v>#REF!</v>
      </c>
      <c r="I115" s="64" t="e">
        <f>IF('Expenses Summary'!#REF!="","",IF('Cash Flow %s Yr4'!I115="","",'Cash Flow %s Yr4'!I115*'Expenses Summary'!#REF!))</f>
        <v>#REF!</v>
      </c>
      <c r="J115" s="64" t="e">
        <f>IF('Expenses Summary'!#REF!="","",IF('Cash Flow %s Yr4'!J115="","",'Cash Flow %s Yr4'!J115*'Expenses Summary'!#REF!))</f>
        <v>#REF!</v>
      </c>
      <c r="K115" s="64" t="e">
        <f>IF('Expenses Summary'!#REF!="","",IF('Cash Flow %s Yr4'!K115="","",'Cash Flow %s Yr4'!K115*'Expenses Summary'!#REF!))</f>
        <v>#REF!</v>
      </c>
      <c r="L115" s="64" t="e">
        <f>IF('Expenses Summary'!#REF!="","",IF('Cash Flow %s Yr4'!L115="","",'Cash Flow %s Yr4'!L115*'Expenses Summary'!#REF!))</f>
        <v>#REF!</v>
      </c>
      <c r="M115" s="64" t="e">
        <f>IF('Expenses Summary'!#REF!="","",IF('Cash Flow %s Yr4'!M115="","",'Cash Flow %s Yr4'!M115*'Expenses Summary'!#REF!))</f>
        <v>#REF!</v>
      </c>
      <c r="N115" s="64" t="e">
        <f>IF('Expenses Summary'!#REF!="","",IF('Cash Flow %s Yr4'!N115="","",'Cash Flow %s Yr4'!N115*'Expenses Summary'!#REF!))</f>
        <v>#REF!</v>
      </c>
      <c r="O115" s="64" t="e">
        <f>IF('Expenses Summary'!#REF!="","",IF('Cash Flow %s Yr4'!O115="","",'Cash Flow %s Yr4'!O115*'Expenses Summary'!#REF!))</f>
        <v>#REF!</v>
      </c>
      <c r="P115" s="129"/>
      <c r="Q115" s="129"/>
      <c r="R115" s="129"/>
      <c r="S115" s="111" t="e">
        <f>IF(SUM(D115:R115)&gt;0,SUM(D115:R115)/'Expenses Summary'!#REF!,"")</f>
        <v>#REF!</v>
      </c>
    </row>
    <row r="116" spans="1:19" s="31" customFormat="1" x14ac:dyDescent="0.2">
      <c r="A116" s="36"/>
      <c r="B116" s="139" t="str">
        <f>'Expenses Summary'!B71</f>
        <v>5500</v>
      </c>
      <c r="C116" s="139" t="str">
        <f>'Expenses Summary'!C71</f>
        <v>Operation and Housekeeping Services/Supplies</v>
      </c>
      <c r="D116" s="64">
        <f>IF('Expenses Summary'!$G71="","",IF('Cash Flow %s Yr4'!D116="","",'Cash Flow %s Yr4'!D116*'Expenses Summary'!$G71))</f>
        <v>740.06156690565001</v>
      </c>
      <c r="E116" s="64">
        <f>IF('Expenses Summary'!$G71="","",IF('Cash Flow %s Yr4'!E116="","",'Cash Flow %s Yr4'!E116*'Expenses Summary'!$G71))</f>
        <v>740.06156690565001</v>
      </c>
      <c r="F116" s="64">
        <f>IF('Expenses Summary'!$G71="","",IF('Cash Flow %s Yr4'!F116="","",'Cash Flow %s Yr4'!F116*'Expenses Summary'!$G71))</f>
        <v>740.06156690565001</v>
      </c>
      <c r="G116" s="64">
        <f>IF('Expenses Summary'!$G71="","",IF('Cash Flow %s Yr4'!G116="","",'Cash Flow %s Yr4'!G116*'Expenses Summary'!$G71))</f>
        <v>740.06156690565001</v>
      </c>
      <c r="H116" s="64">
        <f>IF('Expenses Summary'!$G71="","",IF('Cash Flow %s Yr4'!H116="","",'Cash Flow %s Yr4'!H116*'Expenses Summary'!$G71))</f>
        <v>740.06156690565001</v>
      </c>
      <c r="I116" s="64">
        <f>IF('Expenses Summary'!$G71="","",IF('Cash Flow %s Yr4'!I116="","",'Cash Flow %s Yr4'!I116*'Expenses Summary'!$G71))</f>
        <v>740.06156690565001</v>
      </c>
      <c r="J116" s="64">
        <f>IF('Expenses Summary'!$G71="","",IF('Cash Flow %s Yr4'!J116="","",'Cash Flow %s Yr4'!J116*'Expenses Summary'!$G71))</f>
        <v>740.06156690565001</v>
      </c>
      <c r="K116" s="64">
        <f>IF('Expenses Summary'!$G71="","",IF('Cash Flow %s Yr4'!K116="","",'Cash Flow %s Yr4'!K116*'Expenses Summary'!$G71))</f>
        <v>740.06156690565001</v>
      </c>
      <c r="L116" s="64">
        <f>IF('Expenses Summary'!$G71="","",IF('Cash Flow %s Yr4'!L116="","",'Cash Flow %s Yr4'!L116*'Expenses Summary'!$G71))</f>
        <v>748.97797132619996</v>
      </c>
      <c r="M116" s="64">
        <f>IF('Expenses Summary'!$G71="","",IF('Cash Flow %s Yr4'!M116="","",'Cash Flow %s Yr4'!M116*'Expenses Summary'!$G71))</f>
        <v>748.97797132619996</v>
      </c>
      <c r="N116" s="64">
        <f>IF('Expenses Summary'!$G71="","",IF('Cash Flow %s Yr4'!N116="","",'Cash Flow %s Yr4'!N116*'Expenses Summary'!$G71))</f>
        <v>748.97797132619996</v>
      </c>
      <c r="O116" s="64">
        <f>IF('Expenses Summary'!$G71="","",IF('Cash Flow %s Yr4'!O116="","",'Cash Flow %s Yr4'!O116*'Expenses Summary'!$G71))</f>
        <v>748.97797132619996</v>
      </c>
      <c r="P116" s="129"/>
      <c r="Q116" s="129"/>
      <c r="R116" s="129"/>
      <c r="S116" s="111">
        <f>IF(SUM(D116:R116)&gt;0,SUM(D116:R116)/'Expenses Summary'!$G71,"")</f>
        <v>0.99999999999999978</v>
      </c>
    </row>
    <row r="117" spans="1:19" s="31" customFormat="1" x14ac:dyDescent="0.2">
      <c r="A117" s="36"/>
      <c r="B117" s="139" t="str">
        <f>'Expenses Summary'!B72</f>
        <v>5501</v>
      </c>
      <c r="C117" s="139" t="str">
        <f>'Expenses Summary'!C72</f>
        <v>Utilities</v>
      </c>
      <c r="D117" s="64">
        <f>IF('Expenses Summary'!$G72="","",IF('Cash Flow %s Yr4'!D117="","",'Cash Flow %s Yr4'!D117*'Expenses Summary'!$G72))</f>
        <v>0</v>
      </c>
      <c r="E117" s="64">
        <f>IF('Expenses Summary'!$G72="","",IF('Cash Flow %s Yr4'!E117="","",'Cash Flow %s Yr4'!E117*'Expenses Summary'!$G72))</f>
        <v>0</v>
      </c>
      <c r="F117" s="64">
        <f>IF('Expenses Summary'!$G72="","",IF('Cash Flow %s Yr4'!F117="","",'Cash Flow %s Yr4'!F117*'Expenses Summary'!$G72))</f>
        <v>0</v>
      </c>
      <c r="G117" s="64">
        <f>IF('Expenses Summary'!$G72="","",IF('Cash Flow %s Yr4'!G117="","",'Cash Flow %s Yr4'!G117*'Expenses Summary'!$G72))</f>
        <v>0</v>
      </c>
      <c r="H117" s="64">
        <f>IF('Expenses Summary'!$G72="","",IF('Cash Flow %s Yr4'!H117="","",'Cash Flow %s Yr4'!H117*'Expenses Summary'!$G72))</f>
        <v>0</v>
      </c>
      <c r="I117" s="64">
        <f>IF('Expenses Summary'!$G72="","",IF('Cash Flow %s Yr4'!I117="","",'Cash Flow %s Yr4'!I117*'Expenses Summary'!$G72))</f>
        <v>0</v>
      </c>
      <c r="J117" s="64">
        <f>IF('Expenses Summary'!$G72="","",IF('Cash Flow %s Yr4'!J117="","",'Cash Flow %s Yr4'!J117*'Expenses Summary'!$G72))</f>
        <v>0</v>
      </c>
      <c r="K117" s="64">
        <f>IF('Expenses Summary'!$G72="","",IF('Cash Flow %s Yr4'!K117="","",'Cash Flow %s Yr4'!K117*'Expenses Summary'!$G72))</f>
        <v>0</v>
      </c>
      <c r="L117" s="64">
        <f>IF('Expenses Summary'!$G72="","",IF('Cash Flow %s Yr4'!L117="","",'Cash Flow %s Yr4'!L117*'Expenses Summary'!$G72))</f>
        <v>0</v>
      </c>
      <c r="M117" s="64">
        <f>IF('Expenses Summary'!$G72="","",IF('Cash Flow %s Yr4'!M117="","",'Cash Flow %s Yr4'!M117*'Expenses Summary'!$G72))</f>
        <v>0</v>
      </c>
      <c r="N117" s="64">
        <f>IF('Expenses Summary'!$G72="","",IF('Cash Flow %s Yr4'!N117="","",'Cash Flow %s Yr4'!N117*'Expenses Summary'!$G72))</f>
        <v>0</v>
      </c>
      <c r="O117" s="64">
        <f>IF('Expenses Summary'!$G72="","",IF('Cash Flow %s Yr4'!O117="","",'Cash Flow %s Yr4'!O117*'Expenses Summary'!$G72))</f>
        <v>0</v>
      </c>
      <c r="P117" s="129"/>
      <c r="Q117" s="129"/>
      <c r="R117" s="129"/>
      <c r="S117" s="111" t="str">
        <f>IF(SUM(D117:R117)&gt;0,SUM(D117:R117)/'Expenses Summary'!$G72,"")</f>
        <v/>
      </c>
    </row>
    <row r="118" spans="1:19" s="31" customFormat="1" x14ac:dyDescent="0.2">
      <c r="A118" s="36"/>
      <c r="B118" s="139" t="str">
        <f>'Expenses Summary'!B73</f>
        <v>5505</v>
      </c>
      <c r="C118" s="139" t="str">
        <f>'Expenses Summary'!C73</f>
        <v>Student Transportation / Field Trips</v>
      </c>
      <c r="D118" s="64">
        <f>IF('Expenses Summary'!$G73="","",IF('Cash Flow %s Yr4'!D118="","",'Cash Flow %s Yr4'!D118*'Expenses Summary'!$G73))</f>
        <v>0</v>
      </c>
      <c r="E118" s="64">
        <f>IF('Expenses Summary'!$G73="","",IF('Cash Flow %s Yr4'!E118="","",'Cash Flow %s Yr4'!E118*'Expenses Summary'!$G73))</f>
        <v>0</v>
      </c>
      <c r="F118" s="64">
        <f>IF('Expenses Summary'!$G73="","",IF('Cash Flow %s Yr4'!F118="","",'Cash Flow %s Yr4'!F118*'Expenses Summary'!$G73))</f>
        <v>0</v>
      </c>
      <c r="G118" s="64">
        <f>IF('Expenses Summary'!$G73="","",IF('Cash Flow %s Yr4'!G118="","",'Cash Flow %s Yr4'!G118*'Expenses Summary'!$G73))</f>
        <v>0</v>
      </c>
      <c r="H118" s="64">
        <f>IF('Expenses Summary'!$G73="","",IF('Cash Flow %s Yr4'!H118="","",'Cash Flow %s Yr4'!H118*'Expenses Summary'!$G73))</f>
        <v>0</v>
      </c>
      <c r="I118" s="64">
        <f>IF('Expenses Summary'!$G73="","",IF('Cash Flow %s Yr4'!I118="","",'Cash Flow %s Yr4'!I118*'Expenses Summary'!$G73))</f>
        <v>0</v>
      </c>
      <c r="J118" s="64">
        <f>IF('Expenses Summary'!$G73="","",IF('Cash Flow %s Yr4'!J118="","",'Cash Flow %s Yr4'!J118*'Expenses Summary'!$G73))</f>
        <v>0</v>
      </c>
      <c r="K118" s="64">
        <f>IF('Expenses Summary'!$G73="","",IF('Cash Flow %s Yr4'!K118="","",'Cash Flow %s Yr4'!K118*'Expenses Summary'!$G73))</f>
        <v>0</v>
      </c>
      <c r="L118" s="64">
        <f>IF('Expenses Summary'!$G73="","",IF('Cash Flow %s Yr4'!L118="","",'Cash Flow %s Yr4'!L118*'Expenses Summary'!$G73))</f>
        <v>0</v>
      </c>
      <c r="M118" s="64">
        <f>IF('Expenses Summary'!$G73="","",IF('Cash Flow %s Yr4'!M118="","",'Cash Flow %s Yr4'!M118*'Expenses Summary'!$G73))</f>
        <v>0</v>
      </c>
      <c r="N118" s="64">
        <f>IF('Expenses Summary'!$G73="","",IF('Cash Flow %s Yr4'!N118="","",'Cash Flow %s Yr4'!N118*'Expenses Summary'!$G73))</f>
        <v>0</v>
      </c>
      <c r="O118" s="64">
        <f>IF('Expenses Summary'!$G73="","",IF('Cash Flow %s Yr4'!O118="","",'Cash Flow %s Yr4'!O118*'Expenses Summary'!$G73))</f>
        <v>0</v>
      </c>
      <c r="P118" s="129"/>
      <c r="Q118" s="129"/>
      <c r="R118" s="129"/>
      <c r="S118" s="111" t="str">
        <f>IF(SUM(D118:R118)&gt;0,SUM(D118:R118)/'Expenses Summary'!$G73,"")</f>
        <v/>
      </c>
    </row>
    <row r="119" spans="1:19" s="31" customFormat="1" x14ac:dyDescent="0.2">
      <c r="A119" s="36"/>
      <c r="B119" s="139" t="str">
        <f>'Expenses Summary'!B74</f>
        <v>5600</v>
      </c>
      <c r="C119" s="139" t="str">
        <f>'Expenses Summary'!C74</f>
        <v>Space Rental/Leases Expense</v>
      </c>
      <c r="D119" s="64">
        <f>IF('Expenses Summary'!$G74="","",IF('Cash Flow %s Yr4'!D119="","",'Cash Flow %s Yr4'!D119*'Expenses Summary'!$G74))</f>
        <v>2730.3949282499998</v>
      </c>
      <c r="E119" s="64">
        <f>IF('Expenses Summary'!$G74="","",IF('Cash Flow %s Yr4'!E119="","",'Cash Flow %s Yr4'!E119*'Expenses Summary'!$G74))</f>
        <v>2730.3949282499998</v>
      </c>
      <c r="F119" s="64">
        <f>IF('Expenses Summary'!$G74="","",IF('Cash Flow %s Yr4'!F119="","",'Cash Flow %s Yr4'!F119*'Expenses Summary'!$G74))</f>
        <v>4914.7108708499991</v>
      </c>
      <c r="G119" s="64">
        <f>IF('Expenses Summary'!$G74="","",IF('Cash Flow %s Yr4'!G119="","",'Cash Flow %s Yr4'!G119*'Expenses Summary'!$G74))</f>
        <v>4914.7108708499991</v>
      </c>
      <c r="H119" s="64">
        <f>IF('Expenses Summary'!$G74="","",IF('Cash Flow %s Yr4'!H119="","",'Cash Flow %s Yr4'!H119*'Expenses Summary'!$G74))</f>
        <v>4914.7108708499991</v>
      </c>
      <c r="I119" s="64">
        <f>IF('Expenses Summary'!$G74="","",IF('Cash Flow %s Yr4'!I119="","",'Cash Flow %s Yr4'!I119*'Expenses Summary'!$G74))</f>
        <v>4914.7108708499991</v>
      </c>
      <c r="J119" s="64">
        <f>IF('Expenses Summary'!$G74="","",IF('Cash Flow %s Yr4'!J119="","",'Cash Flow %s Yr4'!J119*'Expenses Summary'!$G74))</f>
        <v>4914.7108708499991</v>
      </c>
      <c r="K119" s="64">
        <f>IF('Expenses Summary'!$G74="","",IF('Cash Flow %s Yr4'!K119="","",'Cash Flow %s Yr4'!K119*'Expenses Summary'!$G74))</f>
        <v>4914.7108708499991</v>
      </c>
      <c r="L119" s="64">
        <f>IF('Expenses Summary'!$G74="","",IF('Cash Flow %s Yr4'!L119="","",'Cash Flow %s Yr4'!L119*'Expenses Summary'!$G74))</f>
        <v>4914.7108708499991</v>
      </c>
      <c r="M119" s="64">
        <f>IF('Expenses Summary'!$G74="","",IF('Cash Flow %s Yr4'!M119="","",'Cash Flow %s Yr4'!M119*'Expenses Summary'!$G74))</f>
        <v>4914.7108708499991</v>
      </c>
      <c r="N119" s="64">
        <f>IF('Expenses Summary'!$G74="","",IF('Cash Flow %s Yr4'!N119="","",'Cash Flow %s Yr4'!N119*'Expenses Summary'!$G74))</f>
        <v>4914.7108708499991</v>
      </c>
      <c r="O119" s="64">
        <f>IF('Expenses Summary'!$G74="","",IF('Cash Flow %s Yr4'!O119="","",'Cash Flow %s Yr4'!O119*'Expenses Summary'!$G74))</f>
        <v>4914.7108708499991</v>
      </c>
      <c r="P119" s="129"/>
      <c r="Q119" s="129"/>
      <c r="R119" s="129"/>
      <c r="S119" s="111">
        <f>IF(SUM(D119:R119)&gt;0,SUM(D119:R119)/'Expenses Summary'!$G74,"")</f>
        <v>1.0000000000000002</v>
      </c>
    </row>
    <row r="120" spans="1:19" s="31" customFormat="1" x14ac:dyDescent="0.2">
      <c r="A120" s="36"/>
      <c r="B120" s="139" t="str">
        <f>'Expenses Summary'!B75</f>
        <v>5601</v>
      </c>
      <c r="C120" s="139" t="str">
        <f>'Expenses Summary'!C75</f>
        <v>Building Maintenance</v>
      </c>
      <c r="D120" s="64">
        <f>IF('Expenses Summary'!$G75="","",IF('Cash Flow %s Yr4'!D120="","",'Cash Flow %s Yr4'!D120*'Expenses Summary'!$G75))</f>
        <v>70.790038543950004</v>
      </c>
      <c r="E120" s="64">
        <f>IF('Expenses Summary'!$G75="","",IF('Cash Flow %s Yr4'!E120="","",'Cash Flow %s Yr4'!E120*'Expenses Summary'!$G75))</f>
        <v>70.790038543950004</v>
      </c>
      <c r="F120" s="64">
        <f>IF('Expenses Summary'!$G75="","",IF('Cash Flow %s Yr4'!F120="","",'Cash Flow %s Yr4'!F120*'Expenses Summary'!$G75))</f>
        <v>70.790038543950004</v>
      </c>
      <c r="G120" s="64">
        <f>IF('Expenses Summary'!$G75="","",IF('Cash Flow %s Yr4'!G120="","",'Cash Flow %s Yr4'!G120*'Expenses Summary'!$G75))</f>
        <v>70.790038543950004</v>
      </c>
      <c r="H120" s="64">
        <f>IF('Expenses Summary'!$G75="","",IF('Cash Flow %s Yr4'!H120="","",'Cash Flow %s Yr4'!H120*'Expenses Summary'!$G75))</f>
        <v>70.790038543950004</v>
      </c>
      <c r="I120" s="64">
        <f>IF('Expenses Summary'!$G75="","",IF('Cash Flow %s Yr4'!I120="","",'Cash Flow %s Yr4'!I120*'Expenses Summary'!$G75))</f>
        <v>70.790038543950004</v>
      </c>
      <c r="J120" s="64">
        <f>IF('Expenses Summary'!$G75="","",IF('Cash Flow %s Yr4'!J120="","",'Cash Flow %s Yr4'!J120*'Expenses Summary'!$G75))</f>
        <v>70.790038543950004</v>
      </c>
      <c r="K120" s="64">
        <f>IF('Expenses Summary'!$G75="","",IF('Cash Flow %s Yr4'!K120="","",'Cash Flow %s Yr4'!K120*'Expenses Summary'!$G75))</f>
        <v>70.790038543950004</v>
      </c>
      <c r="L120" s="64">
        <f>IF('Expenses Summary'!$G75="","",IF('Cash Flow %s Yr4'!L120="","",'Cash Flow %s Yr4'!L120*'Expenses Summary'!$G75))</f>
        <v>71.642930574600001</v>
      </c>
      <c r="M120" s="64">
        <f>IF('Expenses Summary'!$G75="","",IF('Cash Flow %s Yr4'!M120="","",'Cash Flow %s Yr4'!M120*'Expenses Summary'!$G75))</f>
        <v>71.642930574600001</v>
      </c>
      <c r="N120" s="64">
        <f>IF('Expenses Summary'!$G75="","",IF('Cash Flow %s Yr4'!N120="","",'Cash Flow %s Yr4'!N120*'Expenses Summary'!$G75))</f>
        <v>71.642930574600001</v>
      </c>
      <c r="O120" s="64">
        <f>IF('Expenses Summary'!$G75="","",IF('Cash Flow %s Yr4'!O120="","",'Cash Flow %s Yr4'!O120*'Expenses Summary'!$G75))</f>
        <v>71.642930574600001</v>
      </c>
      <c r="P120" s="129"/>
      <c r="Q120" s="129"/>
      <c r="R120" s="129"/>
      <c r="S120" s="111">
        <f>IF(SUM(D120:R120)&gt;0,SUM(D120:R120)/'Expenses Summary'!$G75,"")</f>
        <v>1</v>
      </c>
    </row>
    <row r="121" spans="1:19" s="31" customFormat="1" x14ac:dyDescent="0.2">
      <c r="A121" s="36"/>
      <c r="B121" s="139" t="str">
        <f>'Expenses Summary'!B76</f>
        <v>5602</v>
      </c>
      <c r="C121" s="139" t="str">
        <f>'Expenses Summary'!C76</f>
        <v>Other Space Rental</v>
      </c>
      <c r="D121" s="64">
        <f>IF('Expenses Summary'!$G76="","",IF('Cash Flow %s Yr4'!D121="","",'Cash Flow %s Yr4'!D121*'Expenses Summary'!$G76))</f>
        <v>99.230091575999992</v>
      </c>
      <c r="E121" s="64">
        <f>IF('Expenses Summary'!$G76="","",IF('Cash Flow %s Yr4'!E121="","",'Cash Flow %s Yr4'!E121*'Expenses Summary'!$G76))</f>
        <v>99.230091575999992</v>
      </c>
      <c r="F121" s="64">
        <f>IF('Expenses Summary'!$G76="","",IF('Cash Flow %s Yr4'!F121="","",'Cash Flow %s Yr4'!F121*'Expenses Summary'!$G76))</f>
        <v>99.230091575999992</v>
      </c>
      <c r="G121" s="64">
        <f>IF('Expenses Summary'!$G76="","",IF('Cash Flow %s Yr4'!G121="","",'Cash Flow %s Yr4'!G121*'Expenses Summary'!$G76))</f>
        <v>99.230091575999992</v>
      </c>
      <c r="H121" s="64">
        <f>IF('Expenses Summary'!$G76="","",IF('Cash Flow %s Yr4'!H121="","",'Cash Flow %s Yr4'!H121*'Expenses Summary'!$G76))</f>
        <v>99.230091575999992</v>
      </c>
      <c r="I121" s="64">
        <f>IF('Expenses Summary'!$G76="","",IF('Cash Flow %s Yr4'!I121="","",'Cash Flow %s Yr4'!I121*'Expenses Summary'!$G76))</f>
        <v>99.230091575999992</v>
      </c>
      <c r="J121" s="64">
        <f>IF('Expenses Summary'!$G76="","",IF('Cash Flow %s Yr4'!J121="","",'Cash Flow %s Yr4'!J121*'Expenses Summary'!$G76))</f>
        <v>99.230091575999992</v>
      </c>
      <c r="K121" s="64">
        <f>IF('Expenses Summary'!$G76="","",IF('Cash Flow %s Yr4'!K121="","",'Cash Flow %s Yr4'!K121*'Expenses Summary'!$G76))</f>
        <v>99.230091575999992</v>
      </c>
      <c r="L121" s="64">
        <f>IF('Expenses Summary'!$G76="","",IF('Cash Flow %s Yr4'!L121="","",'Cash Flow %s Yr4'!L121*'Expenses Summary'!$G76))</f>
        <v>100.425634848</v>
      </c>
      <c r="M121" s="64">
        <f>IF('Expenses Summary'!$G76="","",IF('Cash Flow %s Yr4'!M121="","",'Cash Flow %s Yr4'!M121*'Expenses Summary'!$G76))</f>
        <v>100.425634848</v>
      </c>
      <c r="N121" s="64">
        <f>IF('Expenses Summary'!$G76="","",IF('Cash Flow %s Yr4'!N121="","",'Cash Flow %s Yr4'!N121*'Expenses Summary'!$G76))</f>
        <v>100.425634848</v>
      </c>
      <c r="O121" s="64">
        <f>IF('Expenses Summary'!$G76="","",IF('Cash Flow %s Yr4'!O121="","",'Cash Flow %s Yr4'!O121*'Expenses Summary'!$G76))</f>
        <v>100.425634848</v>
      </c>
      <c r="P121" s="129"/>
      <c r="Q121" s="129"/>
      <c r="R121" s="129"/>
      <c r="S121" s="111">
        <f>IF(SUM(D121:R121)&gt;0,SUM(D121:R121)/'Expenses Summary'!$G76,"")</f>
        <v>1</v>
      </c>
    </row>
    <row r="122" spans="1:19" s="31" customFormat="1" x14ac:dyDescent="0.2">
      <c r="A122" s="36"/>
      <c r="B122" s="139" t="str">
        <f>'Expenses Summary'!B77</f>
        <v>5605</v>
      </c>
      <c r="C122" s="139" t="str">
        <f>'Expenses Summary'!C77</f>
        <v>Equipment Rental/Lease Expense</v>
      </c>
      <c r="D122" s="64">
        <f>IF('Expenses Summary'!$G77="","",IF('Cash Flow %s Yr4'!D122="","",'Cash Flow %s Yr4'!D122*'Expenses Summary'!$G77))</f>
        <v>0</v>
      </c>
      <c r="E122" s="64">
        <f>IF('Expenses Summary'!$G77="","",IF('Cash Flow %s Yr4'!E122="","",'Cash Flow %s Yr4'!E122*'Expenses Summary'!$G77))</f>
        <v>0</v>
      </c>
      <c r="F122" s="64">
        <f>IF('Expenses Summary'!$G77="","",IF('Cash Flow %s Yr4'!F122="","",'Cash Flow %s Yr4'!F122*'Expenses Summary'!$G77))</f>
        <v>144.95962172999998</v>
      </c>
      <c r="G122" s="64">
        <f>IF('Expenses Summary'!$G77="","",IF('Cash Flow %s Yr4'!G122="","",'Cash Flow %s Yr4'!G122*'Expenses Summary'!$G77))</f>
        <v>144.95962172999998</v>
      </c>
      <c r="H122" s="64">
        <f>IF('Expenses Summary'!$G77="","",IF('Cash Flow %s Yr4'!H122="","",'Cash Flow %s Yr4'!H122*'Expenses Summary'!$G77))</f>
        <v>144.95962172999998</v>
      </c>
      <c r="I122" s="64">
        <f>IF('Expenses Summary'!$G77="","",IF('Cash Flow %s Yr4'!I122="","",'Cash Flow %s Yr4'!I122*'Expenses Summary'!$G77))</f>
        <v>144.95962172999998</v>
      </c>
      <c r="J122" s="64">
        <f>IF('Expenses Summary'!$G77="","",IF('Cash Flow %s Yr4'!J122="","",'Cash Flow %s Yr4'!J122*'Expenses Summary'!$G77))</f>
        <v>144.95962172999998</v>
      </c>
      <c r="K122" s="64">
        <f>IF('Expenses Summary'!$G77="","",IF('Cash Flow %s Yr4'!K122="","",'Cash Flow %s Yr4'!K122*'Expenses Summary'!$G77))</f>
        <v>144.95962172999998</v>
      </c>
      <c r="L122" s="64">
        <f>IF('Expenses Summary'!$G77="","",IF('Cash Flow %s Yr4'!L122="","",'Cash Flow %s Yr4'!L122*'Expenses Summary'!$G77))</f>
        <v>144.95962172999998</v>
      </c>
      <c r="M122" s="64">
        <f>IF('Expenses Summary'!$G77="","",IF('Cash Flow %s Yr4'!M122="","",'Cash Flow %s Yr4'!M122*'Expenses Summary'!$G77))</f>
        <v>144.95962172999998</v>
      </c>
      <c r="N122" s="64">
        <f>IF('Expenses Summary'!$G77="","",IF('Cash Flow %s Yr4'!N122="","",'Cash Flow %s Yr4'!N122*'Expenses Summary'!$G77))</f>
        <v>144.95962172999998</v>
      </c>
      <c r="O122" s="64">
        <f>IF('Expenses Summary'!$G77="","",IF('Cash Flow %s Yr4'!O122="","",'Cash Flow %s Yr4'!O122*'Expenses Summary'!$G77))</f>
        <v>144.95962172999998</v>
      </c>
      <c r="P122" s="129"/>
      <c r="Q122" s="129"/>
      <c r="R122" s="129"/>
      <c r="S122" s="111">
        <f>IF(SUM(D122:R122)&gt;0,SUM(D122:R122)/'Expenses Summary'!$G77,"")</f>
        <v>1</v>
      </c>
    </row>
    <row r="123" spans="1:19" s="31" customFormat="1" x14ac:dyDescent="0.2">
      <c r="A123" s="36"/>
      <c r="B123" s="139" t="str">
        <f>'Expenses Summary'!B78</f>
        <v>5610</v>
      </c>
      <c r="C123" s="139" t="str">
        <f>'Expenses Summary'!C78</f>
        <v>Equipment Repair</v>
      </c>
      <c r="D123" s="64">
        <f>IF('Expenses Summary'!$G78="","",IF('Cash Flow %s Yr4'!D123="","",'Cash Flow %s Yr4'!D123*'Expenses Summary'!$G78))</f>
        <v>63.081986787599995</v>
      </c>
      <c r="E123" s="64">
        <f>IF('Expenses Summary'!$G78="","",IF('Cash Flow %s Yr4'!E123="","",'Cash Flow %s Yr4'!E123*'Expenses Summary'!$G78))</f>
        <v>63.081986787599995</v>
      </c>
      <c r="F123" s="64">
        <f>IF('Expenses Summary'!$G78="","",IF('Cash Flow %s Yr4'!F123="","",'Cash Flow %s Yr4'!F123*'Expenses Summary'!$G78))</f>
        <v>63.081986787599995</v>
      </c>
      <c r="G123" s="64">
        <f>IF('Expenses Summary'!$G78="","",IF('Cash Flow %s Yr4'!G123="","",'Cash Flow %s Yr4'!G123*'Expenses Summary'!$G78))</f>
        <v>63.081986787599995</v>
      </c>
      <c r="H123" s="64">
        <f>IF('Expenses Summary'!$G78="","",IF('Cash Flow %s Yr4'!H123="","",'Cash Flow %s Yr4'!H123*'Expenses Summary'!$G78))</f>
        <v>63.081986787599995</v>
      </c>
      <c r="I123" s="64">
        <f>IF('Expenses Summary'!$G78="","",IF('Cash Flow %s Yr4'!I123="","",'Cash Flow %s Yr4'!I123*'Expenses Summary'!$G78))</f>
        <v>63.081986787599995</v>
      </c>
      <c r="J123" s="64">
        <f>IF('Expenses Summary'!$G78="","",IF('Cash Flow %s Yr4'!J123="","",'Cash Flow %s Yr4'!J123*'Expenses Summary'!$G78))</f>
        <v>63.081986787599995</v>
      </c>
      <c r="K123" s="64">
        <f>IF('Expenses Summary'!$G78="","",IF('Cash Flow %s Yr4'!K123="","",'Cash Flow %s Yr4'!K123*'Expenses Summary'!$G78))</f>
        <v>63.081986787599995</v>
      </c>
      <c r="L123" s="64">
        <f>IF('Expenses Summary'!$G78="","",IF('Cash Flow %s Yr4'!L123="","",'Cash Flow %s Yr4'!L123*'Expenses Summary'!$G78))</f>
        <v>63.842010724799991</v>
      </c>
      <c r="M123" s="64">
        <f>IF('Expenses Summary'!$G78="","",IF('Cash Flow %s Yr4'!M123="","",'Cash Flow %s Yr4'!M123*'Expenses Summary'!$G78))</f>
        <v>63.842010724799991</v>
      </c>
      <c r="N123" s="64">
        <f>IF('Expenses Summary'!$G78="","",IF('Cash Flow %s Yr4'!N123="","",'Cash Flow %s Yr4'!N123*'Expenses Summary'!$G78))</f>
        <v>63.842010724799991</v>
      </c>
      <c r="O123" s="64">
        <f>IF('Expenses Summary'!$G78="","",IF('Cash Flow %s Yr4'!O123="","",'Cash Flow %s Yr4'!O123*'Expenses Summary'!$G78))</f>
        <v>63.842010724799991</v>
      </c>
      <c r="P123" s="129"/>
      <c r="Q123" s="129"/>
      <c r="R123" s="129"/>
      <c r="S123" s="111">
        <f>IF(SUM(D123:R123)&gt;0,SUM(D123:R123)/'Expenses Summary'!$G78,"")</f>
        <v>1.0000000000000002</v>
      </c>
    </row>
    <row r="124" spans="1:19" s="31" customFormat="1" x14ac:dyDescent="0.2">
      <c r="A124" s="36"/>
      <c r="B124" s="139" t="str">
        <f>'Expenses Summary'!B79</f>
        <v>5800</v>
      </c>
      <c r="C124" s="139" t="str">
        <f>'Expenses Summary'!C79</f>
        <v>Professional/Consulting Services and Operating Expenditures</v>
      </c>
      <c r="D124" s="64">
        <f>IF('Expenses Summary'!$G79="","",IF('Cash Flow %s Yr4'!D124="","",'Cash Flow %s Yr4'!D124*'Expenses Summary'!$G79))</f>
        <v>2824.6796465249995</v>
      </c>
      <c r="E124" s="64">
        <f>IF('Expenses Summary'!$G79="","",IF('Cash Flow %s Yr4'!E124="","",'Cash Flow %s Yr4'!E124*'Expenses Summary'!$G79))</f>
        <v>2824.6796465249995</v>
      </c>
      <c r="F124" s="64">
        <f>IF('Expenses Summary'!$G79="","",IF('Cash Flow %s Yr4'!F124="","",'Cash Flow %s Yr4'!F124*'Expenses Summary'!$G79))</f>
        <v>5084.4233637449988</v>
      </c>
      <c r="G124" s="64">
        <f>IF('Expenses Summary'!$G79="","",IF('Cash Flow %s Yr4'!G124="","",'Cash Flow %s Yr4'!G124*'Expenses Summary'!$G79))</f>
        <v>5084.4233637449988</v>
      </c>
      <c r="H124" s="64">
        <f>IF('Expenses Summary'!$G79="","",IF('Cash Flow %s Yr4'!H124="","",'Cash Flow %s Yr4'!H124*'Expenses Summary'!$G79))</f>
        <v>5084.4233637449988</v>
      </c>
      <c r="I124" s="64">
        <f>IF('Expenses Summary'!$G79="","",IF('Cash Flow %s Yr4'!I124="","",'Cash Flow %s Yr4'!I124*'Expenses Summary'!$G79))</f>
        <v>5084.4233637449988</v>
      </c>
      <c r="J124" s="64">
        <f>IF('Expenses Summary'!$G79="","",IF('Cash Flow %s Yr4'!J124="","",'Cash Flow %s Yr4'!J124*'Expenses Summary'!$G79))</f>
        <v>5084.4233637449988</v>
      </c>
      <c r="K124" s="64">
        <f>IF('Expenses Summary'!$G79="","",IF('Cash Flow %s Yr4'!K124="","",'Cash Flow %s Yr4'!K124*'Expenses Summary'!$G79))</f>
        <v>5084.4233637449988</v>
      </c>
      <c r="L124" s="64">
        <f>IF('Expenses Summary'!$G79="","",IF('Cash Flow %s Yr4'!L124="","",'Cash Flow %s Yr4'!L124*'Expenses Summary'!$G79))</f>
        <v>5084.4233637449988</v>
      </c>
      <c r="M124" s="64">
        <f>IF('Expenses Summary'!$G79="","",IF('Cash Flow %s Yr4'!M124="","",'Cash Flow %s Yr4'!M124*'Expenses Summary'!$G79))</f>
        <v>5084.4233637449988</v>
      </c>
      <c r="N124" s="64">
        <f>IF('Expenses Summary'!$G79="","",IF('Cash Flow %s Yr4'!N124="","",'Cash Flow %s Yr4'!N124*'Expenses Summary'!$G79))</f>
        <v>5084.4233637449988</v>
      </c>
      <c r="O124" s="64">
        <f>IF('Expenses Summary'!$G79="","",IF('Cash Flow %s Yr4'!O124="","",'Cash Flow %s Yr4'!O124*'Expenses Summary'!$G79))</f>
        <v>5084.4233637449988</v>
      </c>
      <c r="P124" s="129"/>
      <c r="Q124" s="129"/>
      <c r="R124" s="129"/>
      <c r="S124" s="111">
        <f>IF(SUM(D124:R124)&gt;0,SUM(D124:R124)/'Expenses Summary'!$G79,"")</f>
        <v>1.0000000000000002</v>
      </c>
    </row>
    <row r="125" spans="1:19" s="31" customFormat="1" x14ac:dyDescent="0.2">
      <c r="A125" s="36"/>
      <c r="B125" s="139" t="str">
        <f>'Expenses Summary'!B80</f>
        <v>5803</v>
      </c>
      <c r="C125" s="139" t="str">
        <f>'Expenses Summary'!C80</f>
        <v>Banking and Payroll Service Fees</v>
      </c>
      <c r="D125" s="64">
        <f>IF('Expenses Summary'!$G80="","",IF('Cash Flow %s Yr4'!D125="","",'Cash Flow %s Yr4'!D125*'Expenses Summary'!$G80))</f>
        <v>130.38893810249999</v>
      </c>
      <c r="E125" s="64">
        <f>IF('Expenses Summary'!$G80="","",IF('Cash Flow %s Yr4'!E125="","",'Cash Flow %s Yr4'!E125*'Expenses Summary'!$G80))</f>
        <v>130.38893810249999</v>
      </c>
      <c r="F125" s="64">
        <f>IF('Expenses Summary'!$G80="","",IF('Cash Flow %s Yr4'!F125="","",'Cash Flow %s Yr4'!F125*'Expenses Summary'!$G80))</f>
        <v>234.70008858449998</v>
      </c>
      <c r="G125" s="64">
        <f>IF('Expenses Summary'!$G80="","",IF('Cash Flow %s Yr4'!G125="","",'Cash Flow %s Yr4'!G125*'Expenses Summary'!$G80))</f>
        <v>234.70008858449998</v>
      </c>
      <c r="H125" s="64">
        <f>IF('Expenses Summary'!$G80="","",IF('Cash Flow %s Yr4'!H125="","",'Cash Flow %s Yr4'!H125*'Expenses Summary'!$G80))</f>
        <v>234.70008858449998</v>
      </c>
      <c r="I125" s="64">
        <f>IF('Expenses Summary'!$G80="","",IF('Cash Flow %s Yr4'!I125="","",'Cash Flow %s Yr4'!I125*'Expenses Summary'!$G80))</f>
        <v>234.70008858449998</v>
      </c>
      <c r="J125" s="64">
        <f>IF('Expenses Summary'!$G80="","",IF('Cash Flow %s Yr4'!J125="","",'Cash Flow %s Yr4'!J125*'Expenses Summary'!$G80))</f>
        <v>234.70008858449998</v>
      </c>
      <c r="K125" s="64">
        <f>IF('Expenses Summary'!$G80="","",IF('Cash Flow %s Yr4'!K125="","",'Cash Flow %s Yr4'!K125*'Expenses Summary'!$G80))</f>
        <v>234.70008858449998</v>
      </c>
      <c r="L125" s="64">
        <f>IF('Expenses Summary'!$G80="","",IF('Cash Flow %s Yr4'!L125="","",'Cash Flow %s Yr4'!L125*'Expenses Summary'!$G80))</f>
        <v>234.70008858449998</v>
      </c>
      <c r="M125" s="64">
        <f>IF('Expenses Summary'!$G80="","",IF('Cash Flow %s Yr4'!M125="","",'Cash Flow %s Yr4'!M125*'Expenses Summary'!$G80))</f>
        <v>234.70008858449998</v>
      </c>
      <c r="N125" s="64">
        <f>IF('Expenses Summary'!$G80="","",IF('Cash Flow %s Yr4'!N125="","",'Cash Flow %s Yr4'!N125*'Expenses Summary'!$G80))</f>
        <v>234.70008858449998</v>
      </c>
      <c r="O125" s="64">
        <f>IF('Expenses Summary'!$G80="","",IF('Cash Flow %s Yr4'!O125="","",'Cash Flow %s Yr4'!O125*'Expenses Summary'!$G80))</f>
        <v>234.70008858449998</v>
      </c>
      <c r="P125" s="129"/>
      <c r="Q125" s="129"/>
      <c r="R125" s="129"/>
      <c r="S125" s="111">
        <f>IF(SUM(D125:R125)&gt;0,SUM(D125:R125)/'Expenses Summary'!$G80,"")</f>
        <v>1</v>
      </c>
    </row>
    <row r="126" spans="1:19" s="31" customFormat="1" x14ac:dyDescent="0.2">
      <c r="A126" s="36"/>
      <c r="B126" s="139" t="str">
        <f>'Expenses Summary'!B81</f>
        <v>5805</v>
      </c>
      <c r="C126" s="139" t="str">
        <f>'Expenses Summary'!C81</f>
        <v>Legal Services and Audit</v>
      </c>
      <c r="D126" s="64">
        <f>IF('Expenses Summary'!$G81="","",IF('Cash Flow %s Yr4'!D126="","",'Cash Flow %s Yr4'!D126*'Expenses Summary'!$G81))</f>
        <v>0</v>
      </c>
      <c r="E126" s="64">
        <f>IF('Expenses Summary'!$G81="","",IF('Cash Flow %s Yr4'!E126="","",'Cash Flow %s Yr4'!E126*'Expenses Summary'!$G81))</f>
        <v>0</v>
      </c>
      <c r="F126" s="64">
        <f>IF('Expenses Summary'!$G81="","",IF('Cash Flow %s Yr4'!F126="","",'Cash Flow %s Yr4'!F126*'Expenses Summary'!$G81))</f>
        <v>0</v>
      </c>
      <c r="G126" s="64">
        <f>IF('Expenses Summary'!$G81="","",IF('Cash Flow %s Yr4'!G126="","",'Cash Flow %s Yr4'!G126*'Expenses Summary'!$G81))</f>
        <v>0</v>
      </c>
      <c r="H126" s="64">
        <f>IF('Expenses Summary'!$G81="","",IF('Cash Flow %s Yr4'!H126="","",'Cash Flow %s Yr4'!H126*'Expenses Summary'!$G81))</f>
        <v>1120.8218175</v>
      </c>
      <c r="I126" s="64">
        <f>IF('Expenses Summary'!$G81="","",IF('Cash Flow %s Yr4'!I126="","",'Cash Flow %s Yr4'!I126*'Expenses Summary'!$G81))</f>
        <v>1120.8218175</v>
      </c>
      <c r="J126" s="64">
        <f>IF('Expenses Summary'!$G81="","",IF('Cash Flow %s Yr4'!J126="","",'Cash Flow %s Yr4'!J126*'Expenses Summary'!$G81))</f>
        <v>1120.8218175</v>
      </c>
      <c r="K126" s="64">
        <f>IF('Expenses Summary'!$G81="","",IF('Cash Flow %s Yr4'!K126="","",'Cash Flow %s Yr4'!K126*'Expenses Summary'!$G81))</f>
        <v>1120.8218175</v>
      </c>
      <c r="L126" s="64">
        <f>IF('Expenses Summary'!$G81="","",IF('Cash Flow %s Yr4'!L126="","",'Cash Flow %s Yr4'!L126*'Expenses Summary'!$G81))</f>
        <v>1120.8218175</v>
      </c>
      <c r="M126" s="64">
        <f>IF('Expenses Summary'!$G81="","",IF('Cash Flow %s Yr4'!M126="","",'Cash Flow %s Yr4'!M126*'Expenses Summary'!$G81))</f>
        <v>1120.8218175</v>
      </c>
      <c r="N126" s="64">
        <f>IF('Expenses Summary'!$G81="","",IF('Cash Flow %s Yr4'!N126="","",'Cash Flow %s Yr4'!N126*'Expenses Summary'!$G81))</f>
        <v>1120.8218175</v>
      </c>
      <c r="O126" s="64">
        <f>IF('Expenses Summary'!$G81="","",IF('Cash Flow %s Yr4'!O126="","",'Cash Flow %s Yr4'!O126*'Expenses Summary'!$G81))</f>
        <v>1120.8218175</v>
      </c>
      <c r="P126" s="129"/>
      <c r="Q126" s="129"/>
      <c r="R126" s="129"/>
      <c r="S126" s="111">
        <f>IF(SUM(D126:R126)&gt;0,SUM(D126:R126)/'Expenses Summary'!$G81,"")</f>
        <v>1</v>
      </c>
    </row>
    <row r="127" spans="1:19" s="31" customFormat="1" x14ac:dyDescent="0.2">
      <c r="A127" s="36"/>
      <c r="B127" s="139" t="str">
        <f>'Expenses Summary'!B82</f>
        <v>5810</v>
      </c>
      <c r="C127" s="139" t="str">
        <f>'Expenses Summary'!C82</f>
        <v>Educational Consultants</v>
      </c>
      <c r="D127" s="64">
        <f>IF('Expenses Summary'!$G82="","",IF('Cash Flow %s Yr4'!D127="","",'Cash Flow %s Yr4'!D127*'Expenses Summary'!$G82))</f>
        <v>1603.5599525549999</v>
      </c>
      <c r="E127" s="64">
        <f>IF('Expenses Summary'!$G82="","",IF('Cash Flow %s Yr4'!E127="","",'Cash Flow %s Yr4'!E127*'Expenses Summary'!$G82))</f>
        <v>1603.5599525549999</v>
      </c>
      <c r="F127" s="64">
        <f>IF('Expenses Summary'!$G82="","",IF('Cash Flow %s Yr4'!F127="","",'Cash Flow %s Yr4'!F127*'Expenses Summary'!$G82))</f>
        <v>2886.4079145989995</v>
      </c>
      <c r="G127" s="64">
        <f>IF('Expenses Summary'!$G82="","",IF('Cash Flow %s Yr4'!G127="","",'Cash Flow %s Yr4'!G127*'Expenses Summary'!$G82))</f>
        <v>2886.4079145989995</v>
      </c>
      <c r="H127" s="64">
        <f>IF('Expenses Summary'!$G82="","",IF('Cash Flow %s Yr4'!H127="","",'Cash Flow %s Yr4'!H127*'Expenses Summary'!$G82))</f>
        <v>2886.4079145989995</v>
      </c>
      <c r="I127" s="64">
        <f>IF('Expenses Summary'!$G82="","",IF('Cash Flow %s Yr4'!I127="","",'Cash Flow %s Yr4'!I127*'Expenses Summary'!$G82))</f>
        <v>2886.4079145989995</v>
      </c>
      <c r="J127" s="64">
        <f>IF('Expenses Summary'!$G82="","",IF('Cash Flow %s Yr4'!J127="","",'Cash Flow %s Yr4'!J127*'Expenses Summary'!$G82))</f>
        <v>2886.4079145989995</v>
      </c>
      <c r="K127" s="64">
        <f>IF('Expenses Summary'!$G82="","",IF('Cash Flow %s Yr4'!K127="","",'Cash Flow %s Yr4'!K127*'Expenses Summary'!$G82))</f>
        <v>2886.4079145989995</v>
      </c>
      <c r="L127" s="64">
        <f>IF('Expenses Summary'!$G82="","",IF('Cash Flow %s Yr4'!L127="","",'Cash Flow %s Yr4'!L127*'Expenses Summary'!$G82))</f>
        <v>2886.4079145989995</v>
      </c>
      <c r="M127" s="64">
        <f>IF('Expenses Summary'!$G82="","",IF('Cash Flow %s Yr4'!M127="","",'Cash Flow %s Yr4'!M127*'Expenses Summary'!$G82))</f>
        <v>2886.4079145989995</v>
      </c>
      <c r="N127" s="64">
        <f>IF('Expenses Summary'!$G82="","",IF('Cash Flow %s Yr4'!N127="","",'Cash Flow %s Yr4'!N127*'Expenses Summary'!$G82))</f>
        <v>2886.4079145989995</v>
      </c>
      <c r="O127" s="64">
        <f>IF('Expenses Summary'!$G82="","",IF('Cash Flow %s Yr4'!O127="","",'Cash Flow %s Yr4'!O127*'Expenses Summary'!$G82))</f>
        <v>2886.4079145989995</v>
      </c>
      <c r="P127" s="129"/>
      <c r="Q127" s="129"/>
      <c r="R127" s="129"/>
      <c r="S127" s="111">
        <f>IF(SUM(D127:R127)&gt;0,SUM(D127:R127)/'Expenses Summary'!$G82,"")</f>
        <v>1</v>
      </c>
    </row>
    <row r="128" spans="1:19" s="31" customFormat="1" x14ac:dyDescent="0.2">
      <c r="A128" s="36"/>
      <c r="B128" s="139" t="str">
        <f>'Expenses Summary'!B83</f>
        <v>5815</v>
      </c>
      <c r="C128" s="139" t="str">
        <f>'Expenses Summary'!C83</f>
        <v>Advertising / Recruiting</v>
      </c>
      <c r="D128" s="64">
        <f>IF('Expenses Summary'!$G83="","",IF('Cash Flow %s Yr4'!D128="","",'Cash Flow %s Yr4'!D128*'Expenses Summary'!$G83))</f>
        <v>0</v>
      </c>
      <c r="E128" s="64">
        <f>IF('Expenses Summary'!$G83="","",IF('Cash Flow %s Yr4'!E128="","",'Cash Flow %s Yr4'!E128*'Expenses Summary'!$G83))</f>
        <v>0</v>
      </c>
      <c r="F128" s="64">
        <f>IF('Expenses Summary'!$G83="","",IF('Cash Flow %s Yr4'!F128="","",'Cash Flow %s Yr4'!F128*'Expenses Summary'!$G83))</f>
        <v>63.193001519999996</v>
      </c>
      <c r="G128" s="64">
        <f>IF('Expenses Summary'!$G83="","",IF('Cash Flow %s Yr4'!G128="","",'Cash Flow %s Yr4'!G128*'Expenses Summary'!$G83))</f>
        <v>63.193001519999996</v>
      </c>
      <c r="H128" s="64">
        <f>IF('Expenses Summary'!$G83="","",IF('Cash Flow %s Yr4'!H128="","",'Cash Flow %s Yr4'!H128*'Expenses Summary'!$G83))</f>
        <v>63.193001519999996</v>
      </c>
      <c r="I128" s="64">
        <f>IF('Expenses Summary'!$G83="","",IF('Cash Flow %s Yr4'!I128="","",'Cash Flow %s Yr4'!I128*'Expenses Summary'!$G83))</f>
        <v>63.193001519999996</v>
      </c>
      <c r="J128" s="64">
        <f>IF('Expenses Summary'!$G83="","",IF('Cash Flow %s Yr4'!J128="","",'Cash Flow %s Yr4'!J128*'Expenses Summary'!$G83))</f>
        <v>63.193001519999996</v>
      </c>
      <c r="K128" s="64">
        <f>IF('Expenses Summary'!$G83="","",IF('Cash Flow %s Yr4'!K128="","",'Cash Flow %s Yr4'!K128*'Expenses Summary'!$G83))</f>
        <v>63.193001519999996</v>
      </c>
      <c r="L128" s="64">
        <f>IF('Expenses Summary'!$G83="","",IF('Cash Flow %s Yr4'!L128="","",'Cash Flow %s Yr4'!L128*'Expenses Summary'!$G83))</f>
        <v>63.193001519999996</v>
      </c>
      <c r="M128" s="64">
        <f>IF('Expenses Summary'!$G83="","",IF('Cash Flow %s Yr4'!M128="","",'Cash Flow %s Yr4'!M128*'Expenses Summary'!$G83))</f>
        <v>63.193001519999996</v>
      </c>
      <c r="N128" s="64">
        <f>IF('Expenses Summary'!$G83="","",IF('Cash Flow %s Yr4'!N128="","",'Cash Flow %s Yr4'!N128*'Expenses Summary'!$G83))</f>
        <v>63.193001519999996</v>
      </c>
      <c r="O128" s="64">
        <f>IF('Expenses Summary'!$G83="","",IF('Cash Flow %s Yr4'!O128="","",'Cash Flow %s Yr4'!O128*'Expenses Summary'!$G83))</f>
        <v>63.193001519999996</v>
      </c>
      <c r="P128" s="129"/>
      <c r="Q128" s="129"/>
      <c r="R128" s="129"/>
      <c r="S128" s="111">
        <f>IF(SUM(D128:R128)&gt;0,SUM(D128:R128)/'Expenses Summary'!$G83,"")</f>
        <v>1.0000000000000002</v>
      </c>
    </row>
    <row r="129" spans="1:19" s="31" customFormat="1" x14ac:dyDescent="0.2">
      <c r="A129" s="36"/>
      <c r="B129" s="139" t="str">
        <f>'Expenses Summary'!B84</f>
        <v>5820</v>
      </c>
      <c r="C129" s="139" t="str">
        <f>'Expenses Summary'!C84</f>
        <v>Fundraising Expense</v>
      </c>
      <c r="D129" s="64">
        <f>IF('Expenses Summary'!$G84="","",IF('Cash Flow %s Yr4'!D129="","",'Cash Flow %s Yr4'!D129*'Expenses Summary'!$G84))</f>
        <v>0</v>
      </c>
      <c r="E129" s="64">
        <f>IF('Expenses Summary'!$G84="","",IF('Cash Flow %s Yr4'!E129="","",'Cash Flow %s Yr4'!E129*'Expenses Summary'!$G84))</f>
        <v>0</v>
      </c>
      <c r="F129" s="64">
        <f>IF('Expenses Summary'!$G84="","",IF('Cash Flow %s Yr4'!F129="","",'Cash Flow %s Yr4'!F129*'Expenses Summary'!$G84))</f>
        <v>4217.2788919799996</v>
      </c>
      <c r="G129" s="64">
        <f>IF('Expenses Summary'!$G84="","",IF('Cash Flow %s Yr4'!G129="","",'Cash Flow %s Yr4'!G129*'Expenses Summary'!$G84))</f>
        <v>4217.2788919799996</v>
      </c>
      <c r="H129" s="64">
        <f>IF('Expenses Summary'!$G84="","",IF('Cash Flow %s Yr4'!H129="","",'Cash Flow %s Yr4'!H129*'Expenses Summary'!$G84))</f>
        <v>4217.2788919799996</v>
      </c>
      <c r="I129" s="64">
        <f>IF('Expenses Summary'!$G84="","",IF('Cash Flow %s Yr4'!I129="","",'Cash Flow %s Yr4'!I129*'Expenses Summary'!$G84))</f>
        <v>4217.2788919799996</v>
      </c>
      <c r="J129" s="64">
        <f>IF('Expenses Summary'!$G84="","",IF('Cash Flow %s Yr4'!J129="","",'Cash Flow %s Yr4'!J129*'Expenses Summary'!$G84))</f>
        <v>4217.2788919799996</v>
      </c>
      <c r="K129" s="64">
        <f>IF('Expenses Summary'!$G84="","",IF('Cash Flow %s Yr4'!K129="","",'Cash Flow %s Yr4'!K129*'Expenses Summary'!$G84))</f>
        <v>4217.2788919799996</v>
      </c>
      <c r="L129" s="64">
        <f>IF('Expenses Summary'!$G84="","",IF('Cash Flow %s Yr4'!L129="","",'Cash Flow %s Yr4'!L129*'Expenses Summary'!$G84))</f>
        <v>4217.2788919799996</v>
      </c>
      <c r="M129" s="64">
        <f>IF('Expenses Summary'!$G84="","",IF('Cash Flow %s Yr4'!M129="","",'Cash Flow %s Yr4'!M129*'Expenses Summary'!$G84))</f>
        <v>4217.2788919799996</v>
      </c>
      <c r="N129" s="64">
        <f>IF('Expenses Summary'!$G84="","",IF('Cash Flow %s Yr4'!N129="","",'Cash Flow %s Yr4'!N129*'Expenses Summary'!$G84))</f>
        <v>4217.2788919799996</v>
      </c>
      <c r="O129" s="64">
        <f>IF('Expenses Summary'!$G84="","",IF('Cash Flow %s Yr4'!O129="","",'Cash Flow %s Yr4'!O129*'Expenses Summary'!$G84))</f>
        <v>4217.2788919799996</v>
      </c>
      <c r="P129" s="129"/>
      <c r="Q129" s="129"/>
      <c r="R129" s="129"/>
      <c r="S129" s="111">
        <f>IF(SUM(D129:R129)&gt;0,SUM(D129:R129)/'Expenses Summary'!$G84,"")</f>
        <v>1.0000000000000002</v>
      </c>
    </row>
    <row r="130" spans="1:19" s="31" customFormat="1" x14ac:dyDescent="0.2">
      <c r="A130" s="36"/>
      <c r="B130" s="139" t="str">
        <f>'Expenses Summary'!B85</f>
        <v>5875</v>
      </c>
      <c r="C130" s="139" t="str">
        <f>'Expenses Summary'!C85</f>
        <v>District Oversight Fee</v>
      </c>
      <c r="D130" s="64">
        <f>IF('Expenses Summary'!$G85="","",IF('Cash Flow %s Yr4'!D130="","",'Cash Flow %s Yr4'!D130*'Expenses Summary'!$G85))</f>
        <v>2198.07524278459</v>
      </c>
      <c r="E130" s="64">
        <f>IF('Expenses Summary'!$G85="","",IF('Cash Flow %s Yr4'!E130="","",'Cash Flow %s Yr4'!E130*'Expenses Summary'!$G85))</f>
        <v>0</v>
      </c>
      <c r="F130" s="64">
        <f>IF('Expenses Summary'!$G85="","",IF('Cash Flow %s Yr4'!F130="","",'Cash Flow %s Yr4'!F130*'Expenses Summary'!$G85))</f>
        <v>0</v>
      </c>
      <c r="G130" s="64">
        <f>IF('Expenses Summary'!$G85="","",IF('Cash Flow %s Yr4'!G130="","",'Cash Flow %s Yr4'!G130*'Expenses Summary'!$G85))</f>
        <v>0</v>
      </c>
      <c r="H130" s="64">
        <f>IF('Expenses Summary'!$G85="","",IF('Cash Flow %s Yr4'!H130="","",'Cash Flow %s Yr4'!H130*'Expenses Summary'!$G85))</f>
        <v>1708.3917661646024</v>
      </c>
      <c r="I130" s="64">
        <f>IF('Expenses Summary'!$G85="","",IF('Cash Flow %s Yr4'!I130="","",'Cash Flow %s Yr4'!I130*'Expenses Summary'!$G85))</f>
        <v>0</v>
      </c>
      <c r="J130" s="64">
        <f>IF('Expenses Summary'!$G85="","",IF('Cash Flow %s Yr4'!J130="","",'Cash Flow %s Yr4'!J130*'Expenses Summary'!$G85))</f>
        <v>2683.1953029970482</v>
      </c>
      <c r="K130" s="64">
        <f>IF('Expenses Summary'!$G85="","",IF('Cash Flow %s Yr4'!K130="","",'Cash Flow %s Yr4'!K130*'Expenses Summary'!$G85))</f>
        <v>0</v>
      </c>
      <c r="L130" s="64">
        <f>IF('Expenses Summary'!$G85="","",IF('Cash Flow %s Yr4'!L130="","",'Cash Flow %s Yr4'!L130*'Expenses Summary'!$G85))</f>
        <v>0</v>
      </c>
      <c r="M130" s="64">
        <f>IF('Expenses Summary'!$G85="","",IF('Cash Flow %s Yr4'!M130="","",'Cash Flow %s Yr4'!M130*'Expenses Summary'!$G85))</f>
        <v>2683.1953029970482</v>
      </c>
      <c r="N130" s="64">
        <f>IF('Expenses Summary'!$G85="","",IF('Cash Flow %s Yr4'!N130="","",'Cash Flow %s Yr4'!N130*'Expenses Summary'!$G85))</f>
        <v>0</v>
      </c>
      <c r="O130" s="64">
        <f>IF('Expenses Summary'!$G85="","",IF('Cash Flow %s Yr4'!O130="","",'Cash Flow %s Yr4'!O130*'Expenses Summary'!$G85))</f>
        <v>0</v>
      </c>
      <c r="P130" s="129"/>
      <c r="Q130" s="129"/>
      <c r="R130" s="129"/>
      <c r="S130" s="111">
        <f>IF(SUM(D130:R130)&gt;0,SUM(D130:R130)/'Expenses Summary'!$G85,"")</f>
        <v>0.99999954399999991</v>
      </c>
    </row>
    <row r="131" spans="1:19" s="31" customFormat="1" x14ac:dyDescent="0.2">
      <c r="A131" s="36"/>
      <c r="B131" s="139" t="str">
        <f>'Expenses Summary'!B86</f>
        <v>5890</v>
      </c>
      <c r="C131" s="139" t="str">
        <f>'Expenses Summary'!C86</f>
        <v>Interest Expense / Misc. Fees</v>
      </c>
      <c r="D131" s="64">
        <f>IF('Expenses Summary'!$G86="","",IF('Cash Flow %s Yr4'!D131="","",'Cash Flow %s Yr4'!D131*'Expenses Summary'!$G86))</f>
        <v>24.549911072567095</v>
      </c>
      <c r="E131" s="64">
        <f>IF('Expenses Summary'!$G86="","",IF('Cash Flow %s Yr4'!E131="","",'Cash Flow %s Yr4'!E131*'Expenses Summary'!$G86))</f>
        <v>24.549911072567095</v>
      </c>
      <c r="F131" s="64">
        <f>IF('Expenses Summary'!$G86="","",IF('Cash Flow %s Yr4'!F131="","",'Cash Flow %s Yr4'!F131*'Expenses Summary'!$G86))</f>
        <v>24.549911072567095</v>
      </c>
      <c r="G131" s="64">
        <f>IF('Expenses Summary'!$G86="","",IF('Cash Flow %s Yr4'!G131="","",'Cash Flow %s Yr4'!G131*'Expenses Summary'!$G86))</f>
        <v>24.549911072567095</v>
      </c>
      <c r="H131" s="64">
        <f>IF('Expenses Summary'!$G86="","",IF('Cash Flow %s Yr4'!H131="","",'Cash Flow %s Yr4'!H131*'Expenses Summary'!$G86))</f>
        <v>24.549911072567095</v>
      </c>
      <c r="I131" s="64">
        <f>IF('Expenses Summary'!$G86="","",IF('Cash Flow %s Yr4'!I131="","",'Cash Flow %s Yr4'!I131*'Expenses Summary'!$G86))</f>
        <v>24.549911072567095</v>
      </c>
      <c r="J131" s="64">
        <f>IF('Expenses Summary'!$G86="","",IF('Cash Flow %s Yr4'!J131="","",'Cash Flow %s Yr4'!J131*'Expenses Summary'!$G86))</f>
        <v>24.549911072567095</v>
      </c>
      <c r="K131" s="64">
        <f>IF('Expenses Summary'!$G86="","",IF('Cash Flow %s Yr4'!K131="","",'Cash Flow %s Yr4'!K131*'Expenses Summary'!$G86))</f>
        <v>24.549911072567095</v>
      </c>
      <c r="L131" s="64">
        <f>IF('Expenses Summary'!$G86="","",IF('Cash Flow %s Yr4'!L131="","",'Cash Flow %s Yr4'!L131*'Expenses Summary'!$G86))</f>
        <v>24.549911072567095</v>
      </c>
      <c r="M131" s="64">
        <f>IF('Expenses Summary'!$G86="","",IF('Cash Flow %s Yr4'!M131="","",'Cash Flow %s Yr4'!M131*'Expenses Summary'!$G86))</f>
        <v>24.549911072567095</v>
      </c>
      <c r="N131" s="64">
        <f>IF('Expenses Summary'!$G86="","",IF('Cash Flow %s Yr4'!N131="","",'Cash Flow %s Yr4'!N131*'Expenses Summary'!$G86))</f>
        <v>24.549911072567095</v>
      </c>
      <c r="O131" s="64">
        <f>IF('Expenses Summary'!$G86="","",IF('Cash Flow %s Yr4'!O131="","",'Cash Flow %s Yr4'!O131*'Expenses Summary'!$G86))</f>
        <v>24.566851493751596</v>
      </c>
      <c r="P131" s="129"/>
      <c r="Q131" s="129"/>
      <c r="R131" s="129"/>
      <c r="S131" s="111">
        <f>IF(SUM(D131:R131)&gt;0,SUM(D131:R131)/'Expenses Summary'!$G86,"")</f>
        <v>0.99999949999999982</v>
      </c>
    </row>
    <row r="132" spans="1:19" s="31" customFormat="1" x14ac:dyDescent="0.2">
      <c r="A132" s="36"/>
      <c r="B132" s="139" t="str">
        <f>'Expenses Summary'!B87</f>
        <v>5891</v>
      </c>
      <c r="C132" s="139" t="str">
        <f>'Expenses Summary'!C87</f>
        <v>Charter School Capital Fees</v>
      </c>
      <c r="D132" s="64">
        <f>IF('Expenses Summary'!$G87="","",IF('Cash Flow %s Yr4'!D132="","",'Cash Flow %s Yr4'!D132*'Expenses Summary'!$G87))</f>
        <v>0</v>
      </c>
      <c r="E132" s="64">
        <f>IF('Expenses Summary'!$G87="","",IF('Cash Flow %s Yr4'!E132="","",'Cash Flow %s Yr4'!E132*'Expenses Summary'!$G87))</f>
        <v>0</v>
      </c>
      <c r="F132" s="64">
        <f>IF('Expenses Summary'!$G87="","",IF('Cash Flow %s Yr4'!F132="","",'Cash Flow %s Yr4'!F132*'Expenses Summary'!$G87))</f>
        <v>0</v>
      </c>
      <c r="G132" s="64">
        <f>IF('Expenses Summary'!$G87="","",IF('Cash Flow %s Yr4'!G132="","",'Cash Flow %s Yr4'!G132*'Expenses Summary'!$G87))</f>
        <v>0</v>
      </c>
      <c r="H132" s="64">
        <f>IF('Expenses Summary'!$G87="","",IF('Cash Flow %s Yr4'!H132="","",'Cash Flow %s Yr4'!H132*'Expenses Summary'!$G87))</f>
        <v>0</v>
      </c>
      <c r="I132" s="64">
        <f>IF('Expenses Summary'!$G87="","",IF('Cash Flow %s Yr4'!I132="","",'Cash Flow %s Yr4'!I132*'Expenses Summary'!$G87))</f>
        <v>0</v>
      </c>
      <c r="J132" s="64">
        <f>IF('Expenses Summary'!$G87="","",IF('Cash Flow %s Yr4'!J132="","",'Cash Flow %s Yr4'!J132*'Expenses Summary'!$G87))</f>
        <v>0</v>
      </c>
      <c r="K132" s="64">
        <f>IF('Expenses Summary'!$G87="","",IF('Cash Flow %s Yr4'!K132="","",'Cash Flow %s Yr4'!K132*'Expenses Summary'!$G87))</f>
        <v>0</v>
      </c>
      <c r="L132" s="64">
        <f>IF('Expenses Summary'!$G87="","",IF('Cash Flow %s Yr4'!L132="","",'Cash Flow %s Yr4'!L132*'Expenses Summary'!$G87))</f>
        <v>0</v>
      </c>
      <c r="M132" s="64">
        <f>IF('Expenses Summary'!$G87="","",IF('Cash Flow %s Yr4'!M132="","",'Cash Flow %s Yr4'!M132*'Expenses Summary'!$G87))</f>
        <v>0</v>
      </c>
      <c r="N132" s="64">
        <f>IF('Expenses Summary'!$G87="","",IF('Cash Flow %s Yr4'!N132="","",'Cash Flow %s Yr4'!N132*'Expenses Summary'!$G87))</f>
        <v>0</v>
      </c>
      <c r="O132" s="64">
        <f>IF('Expenses Summary'!$G87="","",IF('Cash Flow %s Yr4'!O132="","",'Cash Flow %s Yr4'!O132*'Expenses Summary'!$G87))</f>
        <v>0</v>
      </c>
      <c r="P132" s="129"/>
      <c r="Q132" s="129"/>
      <c r="R132" s="129"/>
      <c r="S132" s="111" t="str">
        <f>IF(SUM(D132:R132)&gt;0,SUM(D132:R132)/'Expenses Summary'!$G87,"")</f>
        <v/>
      </c>
    </row>
    <row r="133" spans="1:19" s="31" customFormat="1" hidden="1" outlineLevel="1" x14ac:dyDescent="0.2">
      <c r="A133" s="36"/>
      <c r="B133" s="139" t="str">
        <f>'Expenses Summary'!B88</f>
        <v>5899</v>
      </c>
      <c r="C133" s="139" t="str">
        <f>'Expenses Summary'!C88</f>
        <v>CMO Management Fee</v>
      </c>
      <c r="D133" s="64">
        <f>IF('Expenses Summary'!$G88="","",IF('Cash Flow %s Yr4'!D133="","",'Cash Flow %s Yr4'!D133*'Expenses Summary'!$G88))</f>
        <v>0</v>
      </c>
      <c r="E133" s="64">
        <f>IF('Expenses Summary'!$G88="","",IF('Cash Flow %s Yr4'!E133="","",'Cash Flow %s Yr4'!E133*'Expenses Summary'!$G88))</f>
        <v>0</v>
      </c>
      <c r="F133" s="64">
        <f>IF('Expenses Summary'!$G88="","",IF('Cash Flow %s Yr4'!F133="","",'Cash Flow %s Yr4'!F133*'Expenses Summary'!$G88))</f>
        <v>0</v>
      </c>
      <c r="G133" s="64">
        <f>IF('Expenses Summary'!$G88="","",IF('Cash Flow %s Yr4'!G133="","",'Cash Flow %s Yr4'!G133*'Expenses Summary'!$G88))</f>
        <v>0</v>
      </c>
      <c r="H133" s="64">
        <f>IF('Expenses Summary'!$G88="","",IF('Cash Flow %s Yr4'!H133="","",'Cash Flow %s Yr4'!H133*'Expenses Summary'!$G88))</f>
        <v>0</v>
      </c>
      <c r="I133" s="64">
        <f>IF('Expenses Summary'!$G88="","",IF('Cash Flow %s Yr4'!I133="","",'Cash Flow %s Yr4'!I133*'Expenses Summary'!$G88))</f>
        <v>0</v>
      </c>
      <c r="J133" s="64">
        <f>IF('Expenses Summary'!$G88="","",IF('Cash Flow %s Yr4'!J133="","",'Cash Flow %s Yr4'!J133*'Expenses Summary'!$G88))</f>
        <v>0</v>
      </c>
      <c r="K133" s="64">
        <f>IF('Expenses Summary'!$G88="","",IF('Cash Flow %s Yr4'!K133="","",'Cash Flow %s Yr4'!K133*'Expenses Summary'!$G88))</f>
        <v>0</v>
      </c>
      <c r="L133" s="64">
        <f>IF('Expenses Summary'!$G88="","",IF('Cash Flow %s Yr4'!L133="","",'Cash Flow %s Yr4'!L133*'Expenses Summary'!$G88))</f>
        <v>0</v>
      </c>
      <c r="M133" s="64">
        <f>IF('Expenses Summary'!$G88="","",IF('Cash Flow %s Yr4'!M133="","",'Cash Flow %s Yr4'!M133*'Expenses Summary'!$G88))</f>
        <v>0</v>
      </c>
      <c r="N133" s="64">
        <f>IF('Expenses Summary'!$G88="","",IF('Cash Flow %s Yr4'!N133="","",'Cash Flow %s Yr4'!N133*'Expenses Summary'!$G88))</f>
        <v>0</v>
      </c>
      <c r="O133" s="64">
        <f>IF('Expenses Summary'!$G88="","",IF('Cash Flow %s Yr4'!O133="","",'Cash Flow %s Yr4'!O133*'Expenses Summary'!$G88))</f>
        <v>0</v>
      </c>
      <c r="P133" s="129"/>
      <c r="Q133" s="129"/>
      <c r="R133" s="129"/>
      <c r="S133" s="111"/>
    </row>
    <row r="134" spans="1:19" s="31" customFormat="1" hidden="1" outlineLevel="1" x14ac:dyDescent="0.2">
      <c r="A134" s="36"/>
      <c r="B134" s="139" t="str">
        <f>'Expenses Summary'!B89</f>
        <v>5900</v>
      </c>
      <c r="C134" s="139" t="str">
        <f>'Expenses Summary'!C89</f>
        <v>Communications</v>
      </c>
      <c r="D134" s="64">
        <f>IF('Expenses Summary'!$G89="","",IF('Cash Flow %s Yr4'!D134="","",'Cash Flow %s Yr4'!D134*'Expenses Summary'!$G89))</f>
        <v>0</v>
      </c>
      <c r="E134" s="64">
        <f>IF('Expenses Summary'!$G89="","",IF('Cash Flow %s Yr4'!E134="","",'Cash Flow %s Yr4'!E134*'Expenses Summary'!$G89))</f>
        <v>0</v>
      </c>
      <c r="F134" s="64">
        <f>IF('Expenses Summary'!$G89="","",IF('Cash Flow %s Yr4'!F134="","",'Cash Flow %s Yr4'!F134*'Expenses Summary'!$G89))</f>
        <v>406.48471247999993</v>
      </c>
      <c r="G134" s="64">
        <f>IF('Expenses Summary'!$G89="","",IF('Cash Flow %s Yr4'!G134="","",'Cash Flow %s Yr4'!G134*'Expenses Summary'!$G89))</f>
        <v>406.48471247999993</v>
      </c>
      <c r="H134" s="64">
        <f>IF('Expenses Summary'!$G89="","",IF('Cash Flow %s Yr4'!H134="","",'Cash Flow %s Yr4'!H134*'Expenses Summary'!$G89))</f>
        <v>406.48471247999993</v>
      </c>
      <c r="I134" s="64">
        <f>IF('Expenses Summary'!$G89="","",IF('Cash Flow %s Yr4'!I134="","",'Cash Flow %s Yr4'!I134*'Expenses Summary'!$G89))</f>
        <v>406.48471247999993</v>
      </c>
      <c r="J134" s="64">
        <f>IF('Expenses Summary'!$G89="","",IF('Cash Flow %s Yr4'!J134="","",'Cash Flow %s Yr4'!J134*'Expenses Summary'!$G89))</f>
        <v>406.48471247999993</v>
      </c>
      <c r="K134" s="64">
        <f>IF('Expenses Summary'!$G89="","",IF('Cash Flow %s Yr4'!K134="","",'Cash Flow %s Yr4'!K134*'Expenses Summary'!$G89))</f>
        <v>406.48471247999993</v>
      </c>
      <c r="L134" s="64">
        <f>IF('Expenses Summary'!$G89="","",IF('Cash Flow %s Yr4'!L134="","",'Cash Flow %s Yr4'!L134*'Expenses Summary'!$G89))</f>
        <v>406.48471247999993</v>
      </c>
      <c r="M134" s="64">
        <f>IF('Expenses Summary'!$G89="","",IF('Cash Flow %s Yr4'!M134="","",'Cash Flow %s Yr4'!M134*'Expenses Summary'!$G89))</f>
        <v>406.48471247999993</v>
      </c>
      <c r="N134" s="64">
        <f>IF('Expenses Summary'!$G89="","",IF('Cash Flow %s Yr4'!N134="","",'Cash Flow %s Yr4'!N134*'Expenses Summary'!$G89))</f>
        <v>406.48471247999993</v>
      </c>
      <c r="O134" s="64">
        <f>IF('Expenses Summary'!$G89="","",IF('Cash Flow %s Yr4'!O134="","",'Cash Flow %s Yr4'!O134*'Expenses Summary'!$G89))</f>
        <v>406.48471247999993</v>
      </c>
      <c r="P134" s="129"/>
      <c r="Q134" s="129"/>
      <c r="R134" s="129"/>
      <c r="S134" s="111"/>
    </row>
    <row r="135" spans="1:19" s="31" customFormat="1" hidden="1" outlineLevel="1" x14ac:dyDescent="0.2">
      <c r="A135" s="36"/>
      <c r="B135" s="139">
        <f>'Expenses Summary'!B90</f>
        <v>0</v>
      </c>
      <c r="C135" s="139">
        <f>'Expenses Summary'!C90</f>
        <v>0</v>
      </c>
      <c r="D135" s="64" t="str">
        <f>IF('Expenses Summary'!$G90="","",IF('Cash Flow %s Yr4'!D135="","",'Cash Flow %s Yr4'!D135*'Expenses Summary'!$G90))</f>
        <v/>
      </c>
      <c r="E135" s="64" t="str">
        <f>IF('Expenses Summary'!$G90="","",IF('Cash Flow %s Yr4'!E135="","",'Cash Flow %s Yr4'!E135*'Expenses Summary'!$G90))</f>
        <v/>
      </c>
      <c r="F135" s="64" t="str">
        <f>IF('Expenses Summary'!$G90="","",IF('Cash Flow %s Yr4'!F135="","",'Cash Flow %s Yr4'!F135*'Expenses Summary'!$G90))</f>
        <v/>
      </c>
      <c r="G135" s="64" t="str">
        <f>IF('Expenses Summary'!$G90="","",IF('Cash Flow %s Yr4'!G135="","",'Cash Flow %s Yr4'!G135*'Expenses Summary'!$G90))</f>
        <v/>
      </c>
      <c r="H135" s="64" t="str">
        <f>IF('Expenses Summary'!$G90="","",IF('Cash Flow %s Yr4'!H135="","",'Cash Flow %s Yr4'!H135*'Expenses Summary'!$G90))</f>
        <v/>
      </c>
      <c r="I135" s="64" t="str">
        <f>IF('Expenses Summary'!$G90="","",IF('Cash Flow %s Yr4'!I135="","",'Cash Flow %s Yr4'!I135*'Expenses Summary'!$G90))</f>
        <v/>
      </c>
      <c r="J135" s="64" t="str">
        <f>IF('Expenses Summary'!$G90="","",IF('Cash Flow %s Yr4'!J135="","",'Cash Flow %s Yr4'!J135*'Expenses Summary'!$G90))</f>
        <v/>
      </c>
      <c r="K135" s="64" t="str">
        <f>IF('Expenses Summary'!$G90="","",IF('Cash Flow %s Yr4'!K135="","",'Cash Flow %s Yr4'!K135*'Expenses Summary'!$G90))</f>
        <v/>
      </c>
      <c r="L135" s="64" t="str">
        <f>IF('Expenses Summary'!$G90="","",IF('Cash Flow %s Yr4'!L135="","",'Cash Flow %s Yr4'!L135*'Expenses Summary'!$G90))</f>
        <v/>
      </c>
      <c r="M135" s="64" t="str">
        <f>IF('Expenses Summary'!$G90="","",IF('Cash Flow %s Yr4'!M135="","",'Cash Flow %s Yr4'!M135*'Expenses Summary'!$G90))</f>
        <v/>
      </c>
      <c r="N135" s="64" t="str">
        <f>IF('Expenses Summary'!$G90="","",IF('Cash Flow %s Yr4'!N135="","",'Cash Flow %s Yr4'!N135*'Expenses Summary'!$G90))</f>
        <v/>
      </c>
      <c r="O135" s="64" t="str">
        <f>IF('Expenses Summary'!$G90="","",IF('Cash Flow %s Yr4'!O135="","",'Cash Flow %s Yr4'!O135*'Expenses Summary'!$G90))</f>
        <v/>
      </c>
      <c r="P135" s="129"/>
      <c r="Q135" s="129"/>
      <c r="R135" s="129"/>
      <c r="S135" s="111"/>
    </row>
    <row r="136" spans="1:19" s="31" customFormat="1" hidden="1" outlineLevel="1" x14ac:dyDescent="0.2">
      <c r="A136" s="36"/>
      <c r="B136" s="139">
        <f>'Expenses Summary'!B91</f>
        <v>0</v>
      </c>
      <c r="C136" s="139">
        <f>'Expenses Summary'!C91</f>
        <v>0</v>
      </c>
      <c r="D136" s="64" t="str">
        <f>IF('Expenses Summary'!$G91="","",IF('Cash Flow %s Yr4'!D136="","",'Cash Flow %s Yr4'!D136*'Expenses Summary'!$G91))</f>
        <v/>
      </c>
      <c r="E136" s="64" t="str">
        <f>IF('Expenses Summary'!$G91="","",IF('Cash Flow %s Yr4'!E136="","",'Cash Flow %s Yr4'!E136*'Expenses Summary'!$G91))</f>
        <v/>
      </c>
      <c r="F136" s="64" t="str">
        <f>IF('Expenses Summary'!$G91="","",IF('Cash Flow %s Yr4'!F136="","",'Cash Flow %s Yr4'!F136*'Expenses Summary'!$G91))</f>
        <v/>
      </c>
      <c r="G136" s="64" t="str">
        <f>IF('Expenses Summary'!$G91="","",IF('Cash Flow %s Yr4'!G136="","",'Cash Flow %s Yr4'!G136*'Expenses Summary'!$G91))</f>
        <v/>
      </c>
      <c r="H136" s="64" t="str">
        <f>IF('Expenses Summary'!$G91="","",IF('Cash Flow %s Yr4'!H136="","",'Cash Flow %s Yr4'!H136*'Expenses Summary'!$G91))</f>
        <v/>
      </c>
      <c r="I136" s="64" t="str">
        <f>IF('Expenses Summary'!$G91="","",IF('Cash Flow %s Yr4'!I136="","",'Cash Flow %s Yr4'!I136*'Expenses Summary'!$G91))</f>
        <v/>
      </c>
      <c r="J136" s="64" t="str">
        <f>IF('Expenses Summary'!$G91="","",IF('Cash Flow %s Yr4'!J136="","",'Cash Flow %s Yr4'!J136*'Expenses Summary'!$G91))</f>
        <v/>
      </c>
      <c r="K136" s="64" t="str">
        <f>IF('Expenses Summary'!$G91="","",IF('Cash Flow %s Yr4'!K136="","",'Cash Flow %s Yr4'!K136*'Expenses Summary'!$G91))</f>
        <v/>
      </c>
      <c r="L136" s="64" t="str">
        <f>IF('Expenses Summary'!$G91="","",IF('Cash Flow %s Yr4'!L136="","",'Cash Flow %s Yr4'!L136*'Expenses Summary'!$G91))</f>
        <v/>
      </c>
      <c r="M136" s="64" t="str">
        <f>IF('Expenses Summary'!$G91="","",IF('Cash Flow %s Yr4'!M136="","",'Cash Flow %s Yr4'!M136*'Expenses Summary'!$G91))</f>
        <v/>
      </c>
      <c r="N136" s="64" t="str">
        <f>IF('Expenses Summary'!$G91="","",IF('Cash Flow %s Yr4'!N136="","",'Cash Flow %s Yr4'!N136*'Expenses Summary'!$G91))</f>
        <v/>
      </c>
      <c r="O136" s="64" t="str">
        <f>IF('Expenses Summary'!$G91="","",IF('Cash Flow %s Yr4'!O136="","",'Cash Flow %s Yr4'!O136*'Expenses Summary'!$G91))</f>
        <v/>
      </c>
      <c r="P136" s="129"/>
      <c r="Q136" s="129"/>
      <c r="R136" s="129"/>
      <c r="S136" s="111"/>
    </row>
    <row r="137" spans="1:19" s="31" customFormat="1" hidden="1" outlineLevel="1" x14ac:dyDescent="0.2">
      <c r="A137" s="36"/>
      <c r="B137" s="139">
        <f>'Expenses Summary'!B92</f>
        <v>0</v>
      </c>
      <c r="C137" s="139">
        <f>'Expenses Summary'!C92</f>
        <v>0</v>
      </c>
      <c r="D137" s="64" t="str">
        <f>IF('Expenses Summary'!$G92="","",IF('Cash Flow %s Yr4'!D137="","",'Cash Flow %s Yr4'!D137*'Expenses Summary'!$G92))</f>
        <v/>
      </c>
      <c r="E137" s="64" t="str">
        <f>IF('Expenses Summary'!$G92="","",IF('Cash Flow %s Yr4'!E137="","",'Cash Flow %s Yr4'!E137*'Expenses Summary'!$G92))</f>
        <v/>
      </c>
      <c r="F137" s="64" t="str">
        <f>IF('Expenses Summary'!$G92="","",IF('Cash Flow %s Yr4'!F137="","",'Cash Flow %s Yr4'!F137*'Expenses Summary'!$G92))</f>
        <v/>
      </c>
      <c r="G137" s="64" t="str">
        <f>IF('Expenses Summary'!$G92="","",IF('Cash Flow %s Yr4'!G137="","",'Cash Flow %s Yr4'!G137*'Expenses Summary'!$G92))</f>
        <v/>
      </c>
      <c r="H137" s="64" t="str">
        <f>IF('Expenses Summary'!$G92="","",IF('Cash Flow %s Yr4'!H137="","",'Cash Flow %s Yr4'!H137*'Expenses Summary'!$G92))</f>
        <v/>
      </c>
      <c r="I137" s="64" t="str">
        <f>IF('Expenses Summary'!$G92="","",IF('Cash Flow %s Yr4'!I137="","",'Cash Flow %s Yr4'!I137*'Expenses Summary'!$G92))</f>
        <v/>
      </c>
      <c r="J137" s="64" t="str">
        <f>IF('Expenses Summary'!$G92="","",IF('Cash Flow %s Yr4'!J137="","",'Cash Flow %s Yr4'!J137*'Expenses Summary'!$G92))</f>
        <v/>
      </c>
      <c r="K137" s="64" t="str">
        <f>IF('Expenses Summary'!$G92="","",IF('Cash Flow %s Yr4'!K137="","",'Cash Flow %s Yr4'!K137*'Expenses Summary'!$G92))</f>
        <v/>
      </c>
      <c r="L137" s="64" t="str">
        <f>IF('Expenses Summary'!$G92="","",IF('Cash Flow %s Yr4'!L137="","",'Cash Flow %s Yr4'!L137*'Expenses Summary'!$G92))</f>
        <v/>
      </c>
      <c r="M137" s="64" t="str">
        <f>IF('Expenses Summary'!$G92="","",IF('Cash Flow %s Yr4'!M137="","",'Cash Flow %s Yr4'!M137*'Expenses Summary'!$G92))</f>
        <v/>
      </c>
      <c r="N137" s="64" t="str">
        <f>IF('Expenses Summary'!$G92="","",IF('Cash Flow %s Yr4'!N137="","",'Cash Flow %s Yr4'!N137*'Expenses Summary'!$G92))</f>
        <v/>
      </c>
      <c r="O137" s="64" t="str">
        <f>IF('Expenses Summary'!$G92="","",IF('Cash Flow %s Yr4'!O137="","",'Cash Flow %s Yr4'!O137*'Expenses Summary'!$G92))</f>
        <v/>
      </c>
      <c r="P137" s="129"/>
      <c r="Q137" s="129"/>
      <c r="R137" s="129"/>
      <c r="S137" s="111"/>
    </row>
    <row r="138" spans="1:19" s="31" customFormat="1" hidden="1" outlineLevel="1" x14ac:dyDescent="0.2">
      <c r="A138" s="36"/>
      <c r="B138" s="139">
        <f>'Expenses Summary'!B93</f>
        <v>0</v>
      </c>
      <c r="C138" s="139">
        <f>'Expenses Summary'!C93</f>
        <v>0</v>
      </c>
      <c r="D138" s="64" t="str">
        <f>IF('Expenses Summary'!$G93="","",IF('Cash Flow %s Yr4'!D138="","",'Cash Flow %s Yr4'!D138*'Expenses Summary'!$G93))</f>
        <v/>
      </c>
      <c r="E138" s="64" t="str">
        <f>IF('Expenses Summary'!$G93="","",IF('Cash Flow %s Yr4'!E138="","",'Cash Flow %s Yr4'!E138*'Expenses Summary'!$G93))</f>
        <v/>
      </c>
      <c r="F138" s="64" t="str">
        <f>IF('Expenses Summary'!$G93="","",IF('Cash Flow %s Yr4'!F138="","",'Cash Flow %s Yr4'!F138*'Expenses Summary'!$G93))</f>
        <v/>
      </c>
      <c r="G138" s="64" t="str">
        <f>IF('Expenses Summary'!$G93="","",IF('Cash Flow %s Yr4'!G138="","",'Cash Flow %s Yr4'!G138*'Expenses Summary'!$G93))</f>
        <v/>
      </c>
      <c r="H138" s="64" t="str">
        <f>IF('Expenses Summary'!$G93="","",IF('Cash Flow %s Yr4'!H138="","",'Cash Flow %s Yr4'!H138*'Expenses Summary'!$G93))</f>
        <v/>
      </c>
      <c r="I138" s="64" t="str">
        <f>IF('Expenses Summary'!$G93="","",IF('Cash Flow %s Yr4'!I138="","",'Cash Flow %s Yr4'!I138*'Expenses Summary'!$G93))</f>
        <v/>
      </c>
      <c r="J138" s="64" t="str">
        <f>IF('Expenses Summary'!$G93="","",IF('Cash Flow %s Yr4'!J138="","",'Cash Flow %s Yr4'!J138*'Expenses Summary'!$G93))</f>
        <v/>
      </c>
      <c r="K138" s="64" t="str">
        <f>IF('Expenses Summary'!$G93="","",IF('Cash Flow %s Yr4'!K138="","",'Cash Flow %s Yr4'!K138*'Expenses Summary'!$G93))</f>
        <v/>
      </c>
      <c r="L138" s="64" t="str">
        <f>IF('Expenses Summary'!$G93="","",IF('Cash Flow %s Yr4'!L138="","",'Cash Flow %s Yr4'!L138*'Expenses Summary'!$G93))</f>
        <v/>
      </c>
      <c r="M138" s="64" t="str">
        <f>IF('Expenses Summary'!$G93="","",IF('Cash Flow %s Yr4'!M138="","",'Cash Flow %s Yr4'!M138*'Expenses Summary'!$G93))</f>
        <v/>
      </c>
      <c r="N138" s="64" t="str">
        <f>IF('Expenses Summary'!$G93="","",IF('Cash Flow %s Yr4'!N138="","",'Cash Flow %s Yr4'!N138*'Expenses Summary'!$G93))</f>
        <v/>
      </c>
      <c r="O138" s="64" t="str">
        <f>IF('Expenses Summary'!$G93="","",IF('Cash Flow %s Yr4'!O138="","",'Cash Flow %s Yr4'!O138*'Expenses Summary'!$G93))</f>
        <v/>
      </c>
      <c r="P138" s="129"/>
      <c r="Q138" s="129"/>
      <c r="R138" s="129"/>
      <c r="S138" s="111"/>
    </row>
    <row r="139" spans="1:19" s="31" customFormat="1" hidden="1" outlineLevel="1" x14ac:dyDescent="0.2">
      <c r="A139" s="36"/>
      <c r="B139" s="139">
        <f>'Expenses Summary'!B94</f>
        <v>0</v>
      </c>
      <c r="C139" s="139">
        <f>'Expenses Summary'!C94</f>
        <v>0</v>
      </c>
      <c r="D139" s="64" t="str">
        <f>IF('Expenses Summary'!$G94="","",IF('Cash Flow %s Yr4'!D139="","",'Cash Flow %s Yr4'!D139*'Expenses Summary'!$G94))</f>
        <v/>
      </c>
      <c r="E139" s="64" t="str">
        <f>IF('Expenses Summary'!$G94="","",IF('Cash Flow %s Yr4'!E139="","",'Cash Flow %s Yr4'!E139*'Expenses Summary'!$G94))</f>
        <v/>
      </c>
      <c r="F139" s="64" t="str">
        <f>IF('Expenses Summary'!$G94="","",IF('Cash Flow %s Yr4'!F139="","",'Cash Flow %s Yr4'!F139*'Expenses Summary'!$G94))</f>
        <v/>
      </c>
      <c r="G139" s="64" t="str">
        <f>IF('Expenses Summary'!$G94="","",IF('Cash Flow %s Yr4'!G139="","",'Cash Flow %s Yr4'!G139*'Expenses Summary'!$G94))</f>
        <v/>
      </c>
      <c r="H139" s="64" t="str">
        <f>IF('Expenses Summary'!$G94="","",IF('Cash Flow %s Yr4'!H139="","",'Cash Flow %s Yr4'!H139*'Expenses Summary'!$G94))</f>
        <v/>
      </c>
      <c r="I139" s="64" t="str">
        <f>IF('Expenses Summary'!$G94="","",IF('Cash Flow %s Yr4'!I139="","",'Cash Flow %s Yr4'!I139*'Expenses Summary'!$G94))</f>
        <v/>
      </c>
      <c r="J139" s="64" t="str">
        <f>IF('Expenses Summary'!$G94="","",IF('Cash Flow %s Yr4'!J139="","",'Cash Flow %s Yr4'!J139*'Expenses Summary'!$G94))</f>
        <v/>
      </c>
      <c r="K139" s="64" t="str">
        <f>IF('Expenses Summary'!$G94="","",IF('Cash Flow %s Yr4'!K139="","",'Cash Flow %s Yr4'!K139*'Expenses Summary'!$G94))</f>
        <v/>
      </c>
      <c r="L139" s="64" t="str">
        <f>IF('Expenses Summary'!$G94="","",IF('Cash Flow %s Yr4'!L139="","",'Cash Flow %s Yr4'!L139*'Expenses Summary'!$G94))</f>
        <v/>
      </c>
      <c r="M139" s="64" t="str">
        <f>IF('Expenses Summary'!$G94="","",IF('Cash Flow %s Yr4'!M139="","",'Cash Flow %s Yr4'!M139*'Expenses Summary'!$G94))</f>
        <v/>
      </c>
      <c r="N139" s="64" t="str">
        <f>IF('Expenses Summary'!$G94="","",IF('Cash Flow %s Yr4'!N139="","",'Cash Flow %s Yr4'!N139*'Expenses Summary'!$G94))</f>
        <v/>
      </c>
      <c r="O139" s="64" t="str">
        <f>IF('Expenses Summary'!$G94="","",IF('Cash Flow %s Yr4'!O139="","",'Cash Flow %s Yr4'!O139*'Expenses Summary'!$G94))</f>
        <v/>
      </c>
      <c r="P139" s="129"/>
      <c r="Q139" s="129"/>
      <c r="R139" s="129"/>
      <c r="S139" s="111"/>
    </row>
    <row r="140" spans="1:19" s="31" customFormat="1" hidden="1" outlineLevel="1" x14ac:dyDescent="0.2">
      <c r="A140" s="36"/>
      <c r="B140" s="139">
        <f>'Expenses Summary'!B95</f>
        <v>0</v>
      </c>
      <c r="C140" s="139">
        <f>'Expenses Summary'!C95</f>
        <v>0</v>
      </c>
      <c r="D140" s="64" t="str">
        <f>IF('Expenses Summary'!$G95="","",IF('Cash Flow %s Yr4'!D140="","",'Cash Flow %s Yr4'!D140*'Expenses Summary'!$G95))</f>
        <v/>
      </c>
      <c r="E140" s="64" t="str">
        <f>IF('Expenses Summary'!$G95="","",IF('Cash Flow %s Yr4'!E140="","",'Cash Flow %s Yr4'!E140*'Expenses Summary'!$G95))</f>
        <v/>
      </c>
      <c r="F140" s="64" t="str">
        <f>IF('Expenses Summary'!$G95="","",IF('Cash Flow %s Yr4'!F140="","",'Cash Flow %s Yr4'!F140*'Expenses Summary'!$G95))</f>
        <v/>
      </c>
      <c r="G140" s="64" t="str">
        <f>IF('Expenses Summary'!$G95="","",IF('Cash Flow %s Yr4'!G140="","",'Cash Flow %s Yr4'!G140*'Expenses Summary'!$G95))</f>
        <v/>
      </c>
      <c r="H140" s="64" t="str">
        <f>IF('Expenses Summary'!$G95="","",IF('Cash Flow %s Yr4'!H140="","",'Cash Flow %s Yr4'!H140*'Expenses Summary'!$G95))</f>
        <v/>
      </c>
      <c r="I140" s="64" t="str">
        <f>IF('Expenses Summary'!$G95="","",IF('Cash Flow %s Yr4'!I140="","",'Cash Flow %s Yr4'!I140*'Expenses Summary'!$G95))</f>
        <v/>
      </c>
      <c r="J140" s="64" t="str">
        <f>IF('Expenses Summary'!$G95="","",IF('Cash Flow %s Yr4'!J140="","",'Cash Flow %s Yr4'!J140*'Expenses Summary'!$G95))</f>
        <v/>
      </c>
      <c r="K140" s="64" t="str">
        <f>IF('Expenses Summary'!$G95="","",IF('Cash Flow %s Yr4'!K140="","",'Cash Flow %s Yr4'!K140*'Expenses Summary'!$G95))</f>
        <v/>
      </c>
      <c r="L140" s="64" t="str">
        <f>IF('Expenses Summary'!$G95="","",IF('Cash Flow %s Yr4'!L140="","",'Cash Flow %s Yr4'!L140*'Expenses Summary'!$G95))</f>
        <v/>
      </c>
      <c r="M140" s="64" t="str">
        <f>IF('Expenses Summary'!$G95="","",IF('Cash Flow %s Yr4'!M140="","",'Cash Flow %s Yr4'!M140*'Expenses Summary'!$G95))</f>
        <v/>
      </c>
      <c r="N140" s="64" t="str">
        <f>IF('Expenses Summary'!$G95="","",IF('Cash Flow %s Yr4'!N140="","",'Cash Flow %s Yr4'!N140*'Expenses Summary'!$G95))</f>
        <v/>
      </c>
      <c r="O140" s="64" t="str">
        <f>IF('Expenses Summary'!$G95="","",IF('Cash Flow %s Yr4'!O140="","",'Cash Flow %s Yr4'!O140*'Expenses Summary'!$G95))</f>
        <v/>
      </c>
      <c r="P140" s="129"/>
      <c r="Q140" s="129"/>
      <c r="R140" s="129"/>
      <c r="S140" s="111"/>
    </row>
    <row r="141" spans="1:19" s="31" customFormat="1" hidden="1" outlineLevel="1" x14ac:dyDescent="0.2">
      <c r="A141" s="36"/>
      <c r="B141" s="139">
        <f>'Expenses Summary'!B96</f>
        <v>0</v>
      </c>
      <c r="C141" s="139">
        <f>'Expenses Summary'!C96</f>
        <v>0</v>
      </c>
      <c r="D141" s="64" t="str">
        <f>IF('Expenses Summary'!$G96="","",IF('Cash Flow %s Yr4'!D141="","",'Cash Flow %s Yr4'!D141*'Expenses Summary'!$G96))</f>
        <v/>
      </c>
      <c r="E141" s="64" t="str">
        <f>IF('Expenses Summary'!$G96="","",IF('Cash Flow %s Yr4'!E141="","",'Cash Flow %s Yr4'!E141*'Expenses Summary'!$G96))</f>
        <v/>
      </c>
      <c r="F141" s="64" t="str">
        <f>IF('Expenses Summary'!$G96="","",IF('Cash Flow %s Yr4'!F141="","",'Cash Flow %s Yr4'!F141*'Expenses Summary'!$G96))</f>
        <v/>
      </c>
      <c r="G141" s="64" t="str">
        <f>IF('Expenses Summary'!$G96="","",IF('Cash Flow %s Yr4'!G141="","",'Cash Flow %s Yr4'!G141*'Expenses Summary'!$G96))</f>
        <v/>
      </c>
      <c r="H141" s="64" t="str">
        <f>IF('Expenses Summary'!$G96="","",IF('Cash Flow %s Yr4'!H141="","",'Cash Flow %s Yr4'!H141*'Expenses Summary'!$G96))</f>
        <v/>
      </c>
      <c r="I141" s="64" t="str">
        <f>IF('Expenses Summary'!$G96="","",IF('Cash Flow %s Yr4'!I141="","",'Cash Flow %s Yr4'!I141*'Expenses Summary'!$G96))</f>
        <v/>
      </c>
      <c r="J141" s="64" t="str">
        <f>IF('Expenses Summary'!$G96="","",IF('Cash Flow %s Yr4'!J141="","",'Cash Flow %s Yr4'!J141*'Expenses Summary'!$G96))</f>
        <v/>
      </c>
      <c r="K141" s="64" t="str">
        <f>IF('Expenses Summary'!$G96="","",IF('Cash Flow %s Yr4'!K141="","",'Cash Flow %s Yr4'!K141*'Expenses Summary'!$G96))</f>
        <v/>
      </c>
      <c r="L141" s="64" t="str">
        <f>IF('Expenses Summary'!$G96="","",IF('Cash Flow %s Yr4'!L141="","",'Cash Flow %s Yr4'!L141*'Expenses Summary'!$G96))</f>
        <v/>
      </c>
      <c r="M141" s="64" t="str">
        <f>IF('Expenses Summary'!$G96="","",IF('Cash Flow %s Yr4'!M141="","",'Cash Flow %s Yr4'!M141*'Expenses Summary'!$G96))</f>
        <v/>
      </c>
      <c r="N141" s="64" t="str">
        <f>IF('Expenses Summary'!$G96="","",IF('Cash Flow %s Yr4'!N141="","",'Cash Flow %s Yr4'!N141*'Expenses Summary'!$G96))</f>
        <v/>
      </c>
      <c r="O141" s="64" t="str">
        <f>IF('Expenses Summary'!$G96="","",IF('Cash Flow %s Yr4'!O141="","",'Cash Flow %s Yr4'!O141*'Expenses Summary'!$G96))</f>
        <v/>
      </c>
      <c r="P141" s="129"/>
      <c r="Q141" s="129"/>
      <c r="R141" s="129"/>
      <c r="S141" s="111"/>
    </row>
    <row r="142" spans="1:19" s="31" customFormat="1" hidden="1" outlineLevel="1" x14ac:dyDescent="0.2">
      <c r="A142" s="36"/>
      <c r="B142" s="139">
        <f>'Expenses Summary'!B97</f>
        <v>0</v>
      </c>
      <c r="C142" s="139">
        <f>'Expenses Summary'!C97</f>
        <v>0</v>
      </c>
      <c r="D142" s="64" t="str">
        <f>IF('Expenses Summary'!$G97="","",IF('Cash Flow %s Yr4'!D142="","",'Cash Flow %s Yr4'!D142*'Expenses Summary'!$G97))</f>
        <v/>
      </c>
      <c r="E142" s="64" t="str">
        <f>IF('Expenses Summary'!$G97="","",IF('Cash Flow %s Yr4'!E142="","",'Cash Flow %s Yr4'!E142*'Expenses Summary'!$G97))</f>
        <v/>
      </c>
      <c r="F142" s="64" t="str">
        <f>IF('Expenses Summary'!$G97="","",IF('Cash Flow %s Yr4'!F142="","",'Cash Flow %s Yr4'!F142*'Expenses Summary'!$G97))</f>
        <v/>
      </c>
      <c r="G142" s="64" t="str">
        <f>IF('Expenses Summary'!$G97="","",IF('Cash Flow %s Yr4'!G142="","",'Cash Flow %s Yr4'!G142*'Expenses Summary'!$G97))</f>
        <v/>
      </c>
      <c r="H142" s="64" t="str">
        <f>IF('Expenses Summary'!$G97="","",IF('Cash Flow %s Yr4'!H142="","",'Cash Flow %s Yr4'!H142*'Expenses Summary'!$G97))</f>
        <v/>
      </c>
      <c r="I142" s="64" t="str">
        <f>IF('Expenses Summary'!$G97="","",IF('Cash Flow %s Yr4'!I142="","",'Cash Flow %s Yr4'!I142*'Expenses Summary'!$G97))</f>
        <v/>
      </c>
      <c r="J142" s="64" t="str">
        <f>IF('Expenses Summary'!$G97="","",IF('Cash Flow %s Yr4'!J142="","",'Cash Flow %s Yr4'!J142*'Expenses Summary'!$G97))</f>
        <v/>
      </c>
      <c r="K142" s="64" t="str">
        <f>IF('Expenses Summary'!$G97="","",IF('Cash Flow %s Yr4'!K142="","",'Cash Flow %s Yr4'!K142*'Expenses Summary'!$G97))</f>
        <v/>
      </c>
      <c r="L142" s="64" t="str">
        <f>IF('Expenses Summary'!$G97="","",IF('Cash Flow %s Yr4'!L142="","",'Cash Flow %s Yr4'!L142*'Expenses Summary'!$G97))</f>
        <v/>
      </c>
      <c r="M142" s="64" t="str">
        <f>IF('Expenses Summary'!$G97="","",IF('Cash Flow %s Yr4'!M142="","",'Cash Flow %s Yr4'!M142*'Expenses Summary'!$G97))</f>
        <v/>
      </c>
      <c r="N142" s="64" t="str">
        <f>IF('Expenses Summary'!$G97="","",IF('Cash Flow %s Yr4'!N142="","",'Cash Flow %s Yr4'!N142*'Expenses Summary'!$G97))</f>
        <v/>
      </c>
      <c r="O142" s="64" t="str">
        <f>IF('Expenses Summary'!$G97="","",IF('Cash Flow %s Yr4'!O142="","",'Cash Flow %s Yr4'!O142*'Expenses Summary'!$G97))</f>
        <v/>
      </c>
      <c r="P142" s="129"/>
      <c r="Q142" s="129"/>
      <c r="R142" s="129"/>
      <c r="S142" s="111" t="str">
        <f>IF(SUM(D142:R142)&gt;0,SUM(D142:R142)/'Expenses Summary'!$G97,"")</f>
        <v/>
      </c>
    </row>
    <row r="143" spans="1:19" s="31" customFormat="1" collapsed="1" x14ac:dyDescent="0.2">
      <c r="A143" s="36"/>
      <c r="B143" s="139" t="str">
        <f>'Expenses Summary'!B98</f>
        <v>5999</v>
      </c>
      <c r="C143" s="139" t="str">
        <f>'Expenses Summary'!C98</f>
        <v>Expense Suspense</v>
      </c>
      <c r="D143" s="64" t="str">
        <f>IF('Expenses Summary'!$G98="","",IF('Cash Flow %s Yr4'!D143="","",'Cash Flow %s Yr4'!D143*'Expenses Summary'!$G98))</f>
        <v/>
      </c>
      <c r="E143" s="64" t="str">
        <f>IF('Expenses Summary'!$G98="","",IF('Cash Flow %s Yr4'!E143="","",'Cash Flow %s Yr4'!E143*'Expenses Summary'!$G98))</f>
        <v/>
      </c>
      <c r="F143" s="64" t="str">
        <f>IF('Expenses Summary'!$G98="","",IF('Cash Flow %s Yr4'!F143="","",'Cash Flow %s Yr4'!F143*'Expenses Summary'!$G98))</f>
        <v/>
      </c>
      <c r="G143" s="64" t="str">
        <f>IF('Expenses Summary'!$G98="","",IF('Cash Flow %s Yr4'!G143="","",'Cash Flow %s Yr4'!G143*'Expenses Summary'!$G98))</f>
        <v/>
      </c>
      <c r="H143" s="64" t="str">
        <f>IF('Expenses Summary'!$G98="","",IF('Cash Flow %s Yr4'!H143="","",'Cash Flow %s Yr4'!H143*'Expenses Summary'!$G98))</f>
        <v/>
      </c>
      <c r="I143" s="64" t="str">
        <f>IF('Expenses Summary'!$G98="","",IF('Cash Flow %s Yr4'!I143="","",'Cash Flow %s Yr4'!I143*'Expenses Summary'!$G98))</f>
        <v/>
      </c>
      <c r="J143" s="64" t="str">
        <f>IF('Expenses Summary'!$G98="","",IF('Cash Flow %s Yr4'!J143="","",'Cash Flow %s Yr4'!J143*'Expenses Summary'!$G98))</f>
        <v/>
      </c>
      <c r="K143" s="64" t="str">
        <f>IF('Expenses Summary'!$G98="","",IF('Cash Flow %s Yr4'!K143="","",'Cash Flow %s Yr4'!K143*'Expenses Summary'!$G98))</f>
        <v/>
      </c>
      <c r="L143" s="64" t="str">
        <f>IF('Expenses Summary'!$G98="","",IF('Cash Flow %s Yr4'!L143="","",'Cash Flow %s Yr4'!L143*'Expenses Summary'!$G98))</f>
        <v/>
      </c>
      <c r="M143" s="64" t="str">
        <f>IF('Expenses Summary'!$G98="","",IF('Cash Flow %s Yr4'!M143="","",'Cash Flow %s Yr4'!M143*'Expenses Summary'!$G98))</f>
        <v/>
      </c>
      <c r="N143" s="64" t="str">
        <f>IF('Expenses Summary'!$G98="","",IF('Cash Flow %s Yr4'!N143="","",'Cash Flow %s Yr4'!N143*'Expenses Summary'!$G98))</f>
        <v/>
      </c>
      <c r="O143" s="64" t="str">
        <f>IF('Expenses Summary'!$G98="","",IF('Cash Flow %s Yr4'!O143="","",'Cash Flow %s Yr4'!O143*'Expenses Summary'!$G98))</f>
        <v/>
      </c>
      <c r="P143" s="129"/>
      <c r="Q143" s="129"/>
      <c r="R143" s="129"/>
      <c r="S143" s="111" t="str">
        <f>IF(SUM(D143:R143)&gt;0,SUM(D143:R143)/'Expenses Summary'!$G98,"")</f>
        <v/>
      </c>
    </row>
    <row r="144" spans="1:19" s="31" customFormat="1" x14ac:dyDescent="0.2">
      <c r="A144" s="36"/>
      <c r="B144" s="33" t="s">
        <v>559</v>
      </c>
      <c r="C144" s="34" t="s">
        <v>721</v>
      </c>
      <c r="D144" s="172" t="e">
        <f>IF(SUM(D110:D143)&gt;0,SUM(D110:D143),"")</f>
        <v>#REF!</v>
      </c>
      <c r="E144" s="172" t="e">
        <f t="shared" ref="E144:O144" si="10">IF(SUM(E110:E143)&gt;0,SUM(E110:E143),"")</f>
        <v>#REF!</v>
      </c>
      <c r="F144" s="172" t="e">
        <f t="shared" si="10"/>
        <v>#REF!</v>
      </c>
      <c r="G144" s="172" t="e">
        <f t="shared" si="10"/>
        <v>#REF!</v>
      </c>
      <c r="H144" s="172" t="e">
        <f t="shared" si="10"/>
        <v>#REF!</v>
      </c>
      <c r="I144" s="172" t="e">
        <f t="shared" si="10"/>
        <v>#REF!</v>
      </c>
      <c r="J144" s="172" t="e">
        <f t="shared" si="10"/>
        <v>#REF!</v>
      </c>
      <c r="K144" s="172" t="e">
        <f t="shared" si="10"/>
        <v>#REF!</v>
      </c>
      <c r="L144" s="172" t="e">
        <f t="shared" si="10"/>
        <v>#REF!</v>
      </c>
      <c r="M144" s="172" t="e">
        <f t="shared" si="10"/>
        <v>#REF!</v>
      </c>
      <c r="N144" s="172" t="e">
        <f t="shared" si="10"/>
        <v>#REF!</v>
      </c>
      <c r="O144" s="172" t="e">
        <f t="shared" si="10"/>
        <v>#REF!</v>
      </c>
      <c r="P144" s="108"/>
      <c r="Q144" s="108"/>
      <c r="R144" s="108"/>
      <c r="S144" s="107"/>
    </row>
    <row r="145" spans="1:19" s="31" customFormat="1" x14ac:dyDescent="0.2">
      <c r="A145" s="36"/>
      <c r="B145" s="4"/>
      <c r="C145" s="3"/>
      <c r="D145" s="95"/>
      <c r="E145" s="95"/>
      <c r="F145" s="95"/>
      <c r="G145" s="95"/>
      <c r="H145" s="95"/>
      <c r="I145" s="95"/>
      <c r="J145" s="95"/>
      <c r="K145" s="95"/>
      <c r="L145" s="95"/>
      <c r="M145" s="95"/>
      <c r="N145" s="95"/>
      <c r="O145" s="95"/>
      <c r="P145" s="95"/>
      <c r="Q145" s="95"/>
      <c r="R145" s="95"/>
    </row>
    <row r="146" spans="1:19" s="31" customFormat="1" x14ac:dyDescent="0.2">
      <c r="B146" s="34" t="s">
        <v>723</v>
      </c>
      <c r="C146" s="3"/>
      <c r="D146" s="95"/>
      <c r="E146" s="95"/>
      <c r="F146" s="95"/>
      <c r="G146" s="95"/>
      <c r="H146" s="95"/>
      <c r="I146" s="95"/>
      <c r="J146" s="95"/>
      <c r="K146" s="95"/>
      <c r="L146" s="95"/>
      <c r="M146" s="95"/>
      <c r="N146" s="95"/>
      <c r="O146" s="95"/>
      <c r="P146" s="95"/>
      <c r="Q146" s="95"/>
      <c r="R146" s="95"/>
    </row>
    <row r="147" spans="1:19" s="31" customFormat="1" x14ac:dyDescent="0.2">
      <c r="A147" s="36"/>
      <c r="B147" s="139" t="str">
        <f>'Expenses Summary'!B102</f>
        <v>6900</v>
      </c>
      <c r="C147" s="139" t="str">
        <f>'Expenses Summary'!C102</f>
        <v xml:space="preserve">Depreciation Expense                                                            </v>
      </c>
      <c r="D147" s="64">
        <f>IF('Expenses Summary'!$G102="","",IF('Cash Flow %s Yr4'!D147="","",'Cash Flow %s Yr4'!D147*'Expenses Summary'!$G102))</f>
        <v>0</v>
      </c>
      <c r="E147" s="64">
        <f>IF('Expenses Summary'!$G102="","",IF('Cash Flow %s Yr4'!E147="","",'Cash Flow %s Yr4'!E147*'Expenses Summary'!$G102))</f>
        <v>0</v>
      </c>
      <c r="F147" s="64">
        <f>IF('Expenses Summary'!$G102="","",IF('Cash Flow %s Yr4'!F147="","",'Cash Flow %s Yr4'!F147*'Expenses Summary'!$G102))</f>
        <v>0</v>
      </c>
      <c r="G147" s="64">
        <f>IF('Expenses Summary'!$G102="","",IF('Cash Flow %s Yr4'!G147="","",'Cash Flow %s Yr4'!G147*'Expenses Summary'!$G102))</f>
        <v>0</v>
      </c>
      <c r="H147" s="64">
        <f>IF('Expenses Summary'!$G102="","",IF('Cash Flow %s Yr4'!H147="","",'Cash Flow %s Yr4'!H147*'Expenses Summary'!$G102))</f>
        <v>0</v>
      </c>
      <c r="I147" s="64">
        <f>IF('Expenses Summary'!$G102="","",IF('Cash Flow %s Yr4'!I147="","",'Cash Flow %s Yr4'!I147*'Expenses Summary'!$G102))</f>
        <v>0</v>
      </c>
      <c r="J147" s="64">
        <f>IF('Expenses Summary'!$G102="","",IF('Cash Flow %s Yr4'!J147="","",'Cash Flow %s Yr4'!J147*'Expenses Summary'!$G102))</f>
        <v>0</v>
      </c>
      <c r="K147" s="64">
        <f>IF('Expenses Summary'!$G102="","",IF('Cash Flow %s Yr4'!K147="","",'Cash Flow %s Yr4'!K147*'Expenses Summary'!$G102))</f>
        <v>0</v>
      </c>
      <c r="L147" s="64">
        <f>IF('Expenses Summary'!$G102="","",IF('Cash Flow %s Yr4'!L147="","",'Cash Flow %s Yr4'!L147*'Expenses Summary'!$G102))</f>
        <v>0</v>
      </c>
      <c r="M147" s="64">
        <f>IF('Expenses Summary'!$G102="","",IF('Cash Flow %s Yr4'!M147="","",'Cash Flow %s Yr4'!M147*'Expenses Summary'!$G102))</f>
        <v>0</v>
      </c>
      <c r="N147" s="64">
        <f>IF('Expenses Summary'!$G102="","",IF('Cash Flow %s Yr4'!N147="","",'Cash Flow %s Yr4'!N147*'Expenses Summary'!$G102))</f>
        <v>0</v>
      </c>
      <c r="O147" s="64">
        <f>IF('Expenses Summary'!$G102="","",IF('Cash Flow %s Yr4'!O147="","",'Cash Flow %s Yr4'!O147*'Expenses Summary'!$G102))</f>
        <v>2824</v>
      </c>
      <c r="P147" s="129"/>
      <c r="Q147" s="129"/>
      <c r="R147" s="129"/>
      <c r="S147" s="111">
        <f>IF(SUM(D147:R147)&gt;0,SUM(D147:R147)/'Expenses Summary'!$G102,"")</f>
        <v>1</v>
      </c>
    </row>
    <row r="148" spans="1:19" s="31" customFormat="1" x14ac:dyDescent="0.2">
      <c r="A148" s="36"/>
      <c r="B148" s="33" t="s">
        <v>560</v>
      </c>
      <c r="C148" s="34" t="s">
        <v>721</v>
      </c>
      <c r="D148" s="172" t="str">
        <f t="shared" ref="D148:O148" si="11">IF(SUM(D146:D147)&gt;0,SUM(D146:D147),"")</f>
        <v/>
      </c>
      <c r="E148" s="172" t="str">
        <f t="shared" si="11"/>
        <v/>
      </c>
      <c r="F148" s="172" t="str">
        <f t="shared" si="11"/>
        <v/>
      </c>
      <c r="G148" s="172" t="str">
        <f t="shared" si="11"/>
        <v/>
      </c>
      <c r="H148" s="172" t="str">
        <f t="shared" si="11"/>
        <v/>
      </c>
      <c r="I148" s="172" t="str">
        <f t="shared" si="11"/>
        <v/>
      </c>
      <c r="J148" s="172" t="str">
        <f t="shared" si="11"/>
        <v/>
      </c>
      <c r="K148" s="172" t="str">
        <f t="shared" si="11"/>
        <v/>
      </c>
      <c r="L148" s="172" t="str">
        <f t="shared" si="11"/>
        <v/>
      </c>
      <c r="M148" s="172" t="str">
        <f t="shared" si="11"/>
        <v/>
      </c>
      <c r="N148" s="172" t="str">
        <f t="shared" si="11"/>
        <v/>
      </c>
      <c r="O148" s="172">
        <f t="shared" si="11"/>
        <v>2824</v>
      </c>
      <c r="P148" s="108"/>
      <c r="Q148" s="108"/>
      <c r="R148" s="108"/>
      <c r="S148" s="107"/>
    </row>
    <row r="149" spans="1:19" s="31" customFormat="1" x14ac:dyDescent="0.2">
      <c r="A149" s="36"/>
      <c r="B149" s="4"/>
      <c r="C149" s="3"/>
      <c r="D149" s="104"/>
      <c r="E149" s="104"/>
      <c r="F149" s="104"/>
      <c r="G149" s="95"/>
      <c r="H149" s="95"/>
      <c r="I149" s="95"/>
      <c r="J149" s="95"/>
      <c r="K149" s="95"/>
      <c r="L149" s="95"/>
      <c r="M149" s="95"/>
      <c r="N149" s="95"/>
      <c r="O149" s="95"/>
      <c r="P149" s="95"/>
      <c r="Q149" s="95"/>
      <c r="R149" s="95"/>
    </row>
    <row r="150" spans="1:19" s="31" customFormat="1" x14ac:dyDescent="0.2">
      <c r="B150" s="34" t="s">
        <v>724</v>
      </c>
      <c r="C150" s="3"/>
      <c r="D150" s="104"/>
      <c r="E150" s="104"/>
      <c r="F150" s="104"/>
      <c r="G150" s="95"/>
      <c r="H150" s="95"/>
      <c r="I150" s="95"/>
      <c r="J150" s="95"/>
      <c r="K150" s="95"/>
      <c r="L150" s="95"/>
      <c r="M150" s="95"/>
      <c r="N150" s="95"/>
      <c r="O150" s="95"/>
      <c r="P150" s="95"/>
      <c r="Q150" s="95"/>
      <c r="R150" s="95"/>
    </row>
    <row r="151" spans="1:19" s="31" customFormat="1" x14ac:dyDescent="0.2">
      <c r="A151" s="36"/>
      <c r="B151" s="139" t="str">
        <f>'Expenses Summary'!B106</f>
        <v>7000</v>
      </c>
      <c r="C151" s="139" t="str">
        <f>'Expenses Summary'!C106</f>
        <v>Miscellaneous Expense</v>
      </c>
      <c r="D151" s="64" t="str">
        <f>IF('Expenses Summary'!$G106="","",IF('Cash Flow %s Yr4'!D151="","",'Cash Flow %s Yr4'!D151*'Expenses Summary'!$G106))</f>
        <v/>
      </c>
      <c r="E151" s="64" t="str">
        <f>IF('Expenses Summary'!$G106="","",IF('Cash Flow %s Yr4'!E151="","",'Cash Flow %s Yr4'!E151*'Expenses Summary'!$G106))</f>
        <v/>
      </c>
      <c r="F151" s="64" t="str">
        <f>IF('Expenses Summary'!$G106="","",IF('Cash Flow %s Yr4'!F151="","",'Cash Flow %s Yr4'!F151*'Expenses Summary'!$G106))</f>
        <v/>
      </c>
      <c r="G151" s="64" t="str">
        <f>IF('Expenses Summary'!$G106="","",IF('Cash Flow %s Yr4'!G151="","",'Cash Flow %s Yr4'!G151*'Expenses Summary'!$G106))</f>
        <v/>
      </c>
      <c r="H151" s="64" t="str">
        <f>IF('Expenses Summary'!$G106="","",IF('Cash Flow %s Yr4'!H151="","",'Cash Flow %s Yr4'!H151*'Expenses Summary'!$G106))</f>
        <v/>
      </c>
      <c r="I151" s="64" t="str">
        <f>IF('Expenses Summary'!$G106="","",IF('Cash Flow %s Yr4'!I151="","",'Cash Flow %s Yr4'!I151*'Expenses Summary'!$G106))</f>
        <v/>
      </c>
      <c r="J151" s="64" t="str">
        <f>IF('Expenses Summary'!$G106="","",IF('Cash Flow %s Yr4'!J151="","",'Cash Flow %s Yr4'!J151*'Expenses Summary'!$G106))</f>
        <v/>
      </c>
      <c r="K151" s="64" t="str">
        <f>IF('Expenses Summary'!$G106="","",IF('Cash Flow %s Yr4'!K151="","",'Cash Flow %s Yr4'!K151*'Expenses Summary'!$G106))</f>
        <v/>
      </c>
      <c r="L151" s="64" t="str">
        <f>IF('Expenses Summary'!$G106="","",IF('Cash Flow %s Yr4'!L151="","",'Cash Flow %s Yr4'!L151*'Expenses Summary'!$G106))</f>
        <v/>
      </c>
      <c r="M151" s="64" t="str">
        <f>IF('Expenses Summary'!$G106="","",IF('Cash Flow %s Yr4'!M151="","",'Cash Flow %s Yr4'!M151*'Expenses Summary'!$G106))</f>
        <v/>
      </c>
      <c r="N151" s="64" t="str">
        <f>IF('Expenses Summary'!$G106="","",IF('Cash Flow %s Yr4'!N151="","",'Cash Flow %s Yr4'!N151*'Expenses Summary'!$G106))</f>
        <v/>
      </c>
      <c r="O151" s="64" t="str">
        <f>IF('Expenses Summary'!$G106="","",IF('Cash Flow %s Yr4'!O151="","",'Cash Flow %s Yr4'!O151*'Expenses Summary'!$G106))</f>
        <v/>
      </c>
      <c r="P151" s="129"/>
      <c r="Q151" s="129"/>
      <c r="R151" s="129"/>
      <c r="S151" s="111" t="str">
        <f>IF(SUM(D151:R151)&gt;0,SUM(D151:R151)/'Expenses Summary'!$G106,"")</f>
        <v/>
      </c>
    </row>
    <row r="152" spans="1:19" s="31" customFormat="1" x14ac:dyDescent="0.2">
      <c r="A152" s="36"/>
      <c r="B152" s="139" t="str">
        <f>'Expenses Summary'!B107</f>
        <v>7010</v>
      </c>
      <c r="C152" s="139" t="str">
        <f>'Expenses Summary'!C107</f>
        <v>Special Education Encroachment</v>
      </c>
      <c r="D152" s="64">
        <f>IF('Expenses Summary'!$G107="","",IF('Cash Flow %s Yr4'!D152="","",'Cash Flow %s Yr4'!D152*'Expenses Summary'!$G107))</f>
        <v>0</v>
      </c>
      <c r="E152" s="64">
        <f>IF('Expenses Summary'!$G107="","",IF('Cash Flow %s Yr4'!E152="","",'Cash Flow %s Yr4'!E152*'Expenses Summary'!$G107))</f>
        <v>0</v>
      </c>
      <c r="F152" s="64">
        <f>IF('Expenses Summary'!$G107="","",IF('Cash Flow %s Yr4'!F152="","",'Cash Flow %s Yr4'!F152*'Expenses Summary'!$G107))</f>
        <v>0</v>
      </c>
      <c r="G152" s="64">
        <f>IF('Expenses Summary'!$G107="","",IF('Cash Flow %s Yr4'!G152="","",'Cash Flow %s Yr4'!G152*'Expenses Summary'!$G107))</f>
        <v>0</v>
      </c>
      <c r="H152" s="64">
        <f>IF('Expenses Summary'!$G107="","",IF('Cash Flow %s Yr4'!H152="","",'Cash Flow %s Yr4'!H152*'Expenses Summary'!$G107))</f>
        <v>0</v>
      </c>
      <c r="I152" s="64">
        <f>IF('Expenses Summary'!$G107="","",IF('Cash Flow %s Yr4'!I152="","",'Cash Flow %s Yr4'!I152*'Expenses Summary'!$G107))</f>
        <v>0</v>
      </c>
      <c r="J152" s="64">
        <f>IF('Expenses Summary'!$G107="","",IF('Cash Flow %s Yr4'!J152="","",'Cash Flow %s Yr4'!J152*'Expenses Summary'!$G107))</f>
        <v>0</v>
      </c>
      <c r="K152" s="64">
        <f>IF('Expenses Summary'!$G107="","",IF('Cash Flow %s Yr4'!K152="","",'Cash Flow %s Yr4'!K152*'Expenses Summary'!$G107))</f>
        <v>0</v>
      </c>
      <c r="L152" s="64">
        <f>IF('Expenses Summary'!$G107="","",IF('Cash Flow %s Yr4'!L152="","",'Cash Flow %s Yr4'!L152*'Expenses Summary'!$G107))</f>
        <v>0</v>
      </c>
      <c r="M152" s="64">
        <f>IF('Expenses Summary'!$G107="","",IF('Cash Flow %s Yr4'!M152="","",'Cash Flow %s Yr4'!M152*'Expenses Summary'!$G107))</f>
        <v>0</v>
      </c>
      <c r="N152" s="64">
        <f>IF('Expenses Summary'!$G107="","",IF('Cash Flow %s Yr4'!N152="","",'Cash Flow %s Yr4'!N152*'Expenses Summary'!$G107))</f>
        <v>0</v>
      </c>
      <c r="O152" s="64">
        <f>IF('Expenses Summary'!$G107="","",IF('Cash Flow %s Yr4'!O152="","",'Cash Flow %s Yr4'!O152*'Expenses Summary'!$G107))</f>
        <v>74824.334700000007</v>
      </c>
      <c r="P152" s="129"/>
      <c r="Q152" s="129"/>
      <c r="R152" s="129"/>
      <c r="S152" s="111">
        <f>IF(SUM(D152:R152)&gt;0,SUM(D152:R152)/'Expenses Summary'!$G107,"")</f>
        <v>1</v>
      </c>
    </row>
    <row r="153" spans="1:19" s="31" customFormat="1" x14ac:dyDescent="0.2">
      <c r="A153" s="36"/>
      <c r="B153" s="139" t="str">
        <f>'Expenses Summary'!B108</f>
        <v>7438</v>
      </c>
      <c r="C153" s="139" t="str">
        <f>'Expenses Summary'!C108</f>
        <v xml:space="preserve">Debt </v>
      </c>
      <c r="D153" s="64">
        <f>IF('Expenses Summary'!$G108="","",IF('Cash Flow %s Yr4'!D153="","",'Cash Flow %s Yr4'!D153*'Expenses Summary'!$G108))</f>
        <v>0</v>
      </c>
      <c r="E153" s="64">
        <f>IF('Expenses Summary'!$G108="","",IF('Cash Flow %s Yr4'!E153="","",'Cash Flow %s Yr4'!E153*'Expenses Summary'!$G108))</f>
        <v>0</v>
      </c>
      <c r="F153" s="64">
        <f>IF('Expenses Summary'!$G108="","",IF('Cash Flow %s Yr4'!F153="","",'Cash Flow %s Yr4'!F153*'Expenses Summary'!$G108))</f>
        <v>0</v>
      </c>
      <c r="G153" s="64">
        <f>IF('Expenses Summary'!$G108="","",IF('Cash Flow %s Yr4'!G153="","",'Cash Flow %s Yr4'!G153*'Expenses Summary'!$G108))</f>
        <v>0</v>
      </c>
      <c r="H153" s="64">
        <f>IF('Expenses Summary'!$G108="","",IF('Cash Flow %s Yr4'!H153="","",'Cash Flow %s Yr4'!H153*'Expenses Summary'!$G108))</f>
        <v>0</v>
      </c>
      <c r="I153" s="64">
        <f>IF('Expenses Summary'!$G108="","",IF('Cash Flow %s Yr4'!I153="","",'Cash Flow %s Yr4'!I153*'Expenses Summary'!$G108))</f>
        <v>0</v>
      </c>
      <c r="J153" s="64">
        <f>IF('Expenses Summary'!$G108="","",IF('Cash Flow %s Yr4'!J153="","",'Cash Flow %s Yr4'!J153*'Expenses Summary'!$G108))</f>
        <v>0</v>
      </c>
      <c r="K153" s="64">
        <f>IF('Expenses Summary'!$G108="","",IF('Cash Flow %s Yr4'!K153="","",'Cash Flow %s Yr4'!K153*'Expenses Summary'!$G108))</f>
        <v>0</v>
      </c>
      <c r="L153" s="64">
        <f>IF('Expenses Summary'!$G108="","",IF('Cash Flow %s Yr4'!L153="","",'Cash Flow %s Yr4'!L153*'Expenses Summary'!$G108))</f>
        <v>0</v>
      </c>
      <c r="M153" s="64">
        <f>IF('Expenses Summary'!$G108="","",IF('Cash Flow %s Yr4'!M153="","",'Cash Flow %s Yr4'!M153*'Expenses Summary'!$G108))</f>
        <v>0</v>
      </c>
      <c r="N153" s="64">
        <f>IF('Expenses Summary'!$G108="","",IF('Cash Flow %s Yr4'!N153="","",'Cash Flow %s Yr4'!N153*'Expenses Summary'!$G108))</f>
        <v>0</v>
      </c>
      <c r="O153" s="64">
        <f>IF('Expenses Summary'!$G108="","",IF('Cash Flow %s Yr4'!O153="","",'Cash Flow %s Yr4'!O153*'Expenses Summary'!$G108))</f>
        <v>0</v>
      </c>
      <c r="P153" s="129"/>
      <c r="Q153" s="129"/>
      <c r="R153" s="129"/>
      <c r="S153" s="111" t="str">
        <f>IF(SUM(D153:R153)&gt;0,SUM(D153:R153)/'Expenses Summary'!$G108,"")</f>
        <v/>
      </c>
    </row>
    <row r="154" spans="1:19" s="31" customFormat="1" x14ac:dyDescent="0.2">
      <c r="A154" s="36"/>
      <c r="B154" s="139" t="str">
        <f>'Expenses Summary'!B109</f>
        <v>7500</v>
      </c>
      <c r="C154" s="139" t="str">
        <f>'Expenses Summary'!C109</f>
        <v>District Oversight Fee</v>
      </c>
      <c r="D154" s="64">
        <f>IF('Expenses Summary'!$G109="","",IF('Cash Flow %s Yr4'!D154="","",'Cash Flow %s Yr4'!D154*'Expenses Summary'!$G109))</f>
        <v>0</v>
      </c>
      <c r="E154" s="64">
        <f>IF('Expenses Summary'!$G109="","",IF('Cash Flow %s Yr4'!E154="","",'Cash Flow %s Yr4'!E154*'Expenses Summary'!$G109))</f>
        <v>0</v>
      </c>
      <c r="F154" s="64">
        <f>IF('Expenses Summary'!$G109="","",IF('Cash Flow %s Yr4'!F154="","",'Cash Flow %s Yr4'!F154*'Expenses Summary'!$G109))</f>
        <v>0</v>
      </c>
      <c r="G154" s="64">
        <f>IF('Expenses Summary'!$G109="","",IF('Cash Flow %s Yr4'!G154="","",'Cash Flow %s Yr4'!G154*'Expenses Summary'!$G109))</f>
        <v>0</v>
      </c>
      <c r="H154" s="64">
        <f>IF('Expenses Summary'!$G109="","",IF('Cash Flow %s Yr4'!H154="","",'Cash Flow %s Yr4'!H154*'Expenses Summary'!$G109))</f>
        <v>0</v>
      </c>
      <c r="I154" s="64">
        <f>IF('Expenses Summary'!$G109="","",IF('Cash Flow %s Yr4'!I154="","",'Cash Flow %s Yr4'!I154*'Expenses Summary'!$G109))</f>
        <v>0</v>
      </c>
      <c r="J154" s="64">
        <f>IF('Expenses Summary'!$G109="","",IF('Cash Flow %s Yr4'!J154="","",'Cash Flow %s Yr4'!J154*'Expenses Summary'!$G109))</f>
        <v>0</v>
      </c>
      <c r="K154" s="64">
        <f>IF('Expenses Summary'!$G109="","",IF('Cash Flow %s Yr4'!K154="","",'Cash Flow %s Yr4'!K154*'Expenses Summary'!$G109))</f>
        <v>0</v>
      </c>
      <c r="L154" s="64">
        <f>IF('Expenses Summary'!$G109="","",IF('Cash Flow %s Yr4'!L154="","",'Cash Flow %s Yr4'!L154*'Expenses Summary'!$G109))</f>
        <v>0</v>
      </c>
      <c r="M154" s="64">
        <f>IF('Expenses Summary'!$G109="","",IF('Cash Flow %s Yr4'!M154="","",'Cash Flow %s Yr4'!M154*'Expenses Summary'!$G109))</f>
        <v>0</v>
      </c>
      <c r="N154" s="64">
        <f>IF('Expenses Summary'!$G109="","",IF('Cash Flow %s Yr4'!N154="","",'Cash Flow %s Yr4'!N154*'Expenses Summary'!$G109))</f>
        <v>0</v>
      </c>
      <c r="O154" s="64">
        <f>IF('Expenses Summary'!$G109="","",IF('Cash Flow %s Yr4'!O154="","",'Cash Flow %s Yr4'!O154*'Expenses Summary'!$G109))</f>
        <v>0</v>
      </c>
      <c r="P154" s="129"/>
      <c r="Q154" s="129"/>
      <c r="R154" s="129"/>
      <c r="S154" s="111" t="str">
        <f>IF(SUM(D154:R154)&gt;0,SUM(D154:R154)/'Expenses Summary'!$G109,"")</f>
        <v/>
      </c>
    </row>
    <row r="155" spans="1:19" s="31" customFormat="1" x14ac:dyDescent="0.2">
      <c r="A155" s="36"/>
      <c r="B155" s="33" t="s">
        <v>685</v>
      </c>
      <c r="C155" s="34" t="s">
        <v>725</v>
      </c>
      <c r="D155" s="192" t="str">
        <f t="shared" ref="D155:O155" si="12">IF(SUM(D150:D154)&gt;0,SUM(D150:D154),"")</f>
        <v/>
      </c>
      <c r="E155" s="192" t="str">
        <f t="shared" si="12"/>
        <v/>
      </c>
      <c r="F155" s="192" t="str">
        <f t="shared" si="12"/>
        <v/>
      </c>
      <c r="G155" s="192" t="str">
        <f t="shared" si="12"/>
        <v/>
      </c>
      <c r="H155" s="192" t="str">
        <f t="shared" si="12"/>
        <v/>
      </c>
      <c r="I155" s="192" t="str">
        <f t="shared" si="12"/>
        <v/>
      </c>
      <c r="J155" s="192" t="str">
        <f t="shared" si="12"/>
        <v/>
      </c>
      <c r="K155" s="192" t="str">
        <f t="shared" si="12"/>
        <v/>
      </c>
      <c r="L155" s="192" t="str">
        <f t="shared" si="12"/>
        <v/>
      </c>
      <c r="M155" s="192" t="str">
        <f t="shared" si="12"/>
        <v/>
      </c>
      <c r="N155" s="192" t="str">
        <f t="shared" si="12"/>
        <v/>
      </c>
      <c r="O155" s="192">
        <f t="shared" si="12"/>
        <v>74824.334700000007</v>
      </c>
      <c r="P155" s="132"/>
      <c r="Q155" s="132"/>
      <c r="R155" s="132"/>
    </row>
    <row r="156" spans="1:19" s="31" customFormat="1" x14ac:dyDescent="0.2">
      <c r="A156" s="34" t="s">
        <v>732</v>
      </c>
      <c r="B156" s="4"/>
      <c r="C156" s="3"/>
      <c r="D156" s="172" t="e">
        <f t="shared" ref="D156:O156" si="13">IF(SUM(D155,D148,D144,D108,D88,D76,D63)&gt;0,SUM(D155,D148,D144,D108,D88,D76,D63),"")</f>
        <v>#REF!</v>
      </c>
      <c r="E156" s="172" t="e">
        <f t="shared" si="13"/>
        <v>#REF!</v>
      </c>
      <c r="F156" s="172" t="e">
        <f t="shared" si="13"/>
        <v>#REF!</v>
      </c>
      <c r="G156" s="172" t="e">
        <f t="shared" si="13"/>
        <v>#REF!</v>
      </c>
      <c r="H156" s="172" t="e">
        <f t="shared" si="13"/>
        <v>#REF!</v>
      </c>
      <c r="I156" s="172" t="e">
        <f t="shared" si="13"/>
        <v>#REF!</v>
      </c>
      <c r="J156" s="172" t="e">
        <f t="shared" si="13"/>
        <v>#REF!</v>
      </c>
      <c r="K156" s="172" t="e">
        <f t="shared" si="13"/>
        <v>#REF!</v>
      </c>
      <c r="L156" s="172" t="e">
        <f t="shared" si="13"/>
        <v>#REF!</v>
      </c>
      <c r="M156" s="172" t="e">
        <f t="shared" si="13"/>
        <v>#REF!</v>
      </c>
      <c r="N156" s="172" t="e">
        <f t="shared" si="13"/>
        <v>#REF!</v>
      </c>
      <c r="O156" s="172" t="e">
        <f t="shared" si="13"/>
        <v>#REF!</v>
      </c>
      <c r="P156" s="95"/>
      <c r="Q156" s="95"/>
      <c r="R156" s="95"/>
    </row>
    <row r="157" spans="1:19" s="31" customFormat="1" x14ac:dyDescent="0.2">
      <c r="A157" s="34"/>
      <c r="B157" s="4"/>
      <c r="C157" s="3"/>
      <c r="D157" s="46"/>
      <c r="E157" s="46"/>
      <c r="F157" s="46"/>
      <c r="G157" s="46"/>
      <c r="H157" s="46"/>
      <c r="I157" s="46"/>
      <c r="J157" s="46"/>
      <c r="K157" s="46"/>
      <c r="L157" s="46"/>
      <c r="M157" s="46"/>
      <c r="N157" s="46"/>
      <c r="O157" s="46"/>
      <c r="P157" s="95"/>
      <c r="Q157" s="95"/>
      <c r="R157" s="95"/>
    </row>
    <row r="158" spans="1:19" s="31" customFormat="1" x14ac:dyDescent="0.2">
      <c r="A158" s="36"/>
      <c r="B158" s="34" t="s">
        <v>824</v>
      </c>
      <c r="C158" s="3"/>
      <c r="D158" s="104"/>
      <c r="E158" s="104"/>
      <c r="F158" s="104"/>
      <c r="G158" s="95"/>
      <c r="H158" s="95"/>
      <c r="I158" s="95"/>
      <c r="J158" s="95"/>
      <c r="K158" s="95"/>
      <c r="L158" s="95"/>
      <c r="M158" s="95"/>
      <c r="N158" s="95"/>
      <c r="O158" s="95"/>
      <c r="P158" s="95"/>
      <c r="Q158" s="95"/>
      <c r="R158" s="95"/>
    </row>
    <row r="159" spans="1:19" s="31" customFormat="1" x14ac:dyDescent="0.2">
      <c r="A159" s="36"/>
      <c r="B159" s="66"/>
      <c r="C159" s="66" t="str">
        <f>'Cash Flow %s Yr4'!C158</f>
        <v>Cash balance at previous year end</v>
      </c>
      <c r="D159" s="64" t="e">
        <f>'Cash Flow $s Yr3'!O169</f>
        <v>#REF!</v>
      </c>
      <c r="E159" s="64">
        <f>'Cash Flow %s Yr4'!E158*'Cash Flow %s Yr4'!$W158</f>
        <v>0</v>
      </c>
      <c r="F159" s="64">
        <f>'Cash Flow %s Yr4'!F158*'Cash Flow %s Yr4'!$W158</f>
        <v>0</v>
      </c>
      <c r="G159" s="64">
        <f>'Cash Flow %s Yr4'!G158*'Cash Flow %s Yr4'!$W158</f>
        <v>0</v>
      </c>
      <c r="H159" s="64">
        <f>'Cash Flow %s Yr4'!H158*'Cash Flow %s Yr4'!$W158</f>
        <v>0</v>
      </c>
      <c r="I159" s="64">
        <f>'Cash Flow %s Yr4'!I158*'Cash Flow %s Yr4'!$W158</f>
        <v>0</v>
      </c>
      <c r="J159" s="64">
        <f>'Cash Flow %s Yr4'!J158*'Cash Flow %s Yr4'!$W158</f>
        <v>0</v>
      </c>
      <c r="K159" s="64">
        <f>'Cash Flow %s Yr4'!K158*'Cash Flow %s Yr4'!$W158</f>
        <v>0</v>
      </c>
      <c r="L159" s="64">
        <f>'Cash Flow %s Yr4'!L158*'Cash Flow %s Yr4'!$W158</f>
        <v>0</v>
      </c>
      <c r="M159" s="64">
        <f>'Cash Flow %s Yr4'!M158*'Cash Flow %s Yr4'!$W158</f>
        <v>0</v>
      </c>
      <c r="N159" s="64">
        <f>'Cash Flow %s Yr4'!N158*'Cash Flow %s Yr4'!$W158</f>
        <v>0</v>
      </c>
      <c r="O159" s="64">
        <f>'Cash Flow %s Yr4'!O158*'Cash Flow %s Yr4'!$W158</f>
        <v>0</v>
      </c>
      <c r="P159" s="103"/>
      <c r="Q159" s="103"/>
      <c r="R159" s="103"/>
    </row>
    <row r="160" spans="1:19" s="31" customFormat="1" x14ac:dyDescent="0.2">
      <c r="A160" s="36"/>
      <c r="B160" s="66"/>
      <c r="C160" s="135" t="str">
        <f>'Cash Flow %s Yr4'!C159</f>
        <v>Accounts Receivable</v>
      </c>
      <c r="D160" s="64">
        <f>'Cash Flow %s Yr4'!D159*'Cash Flow $s Yr3'!$O160</f>
        <v>0</v>
      </c>
      <c r="E160" s="64">
        <f>'Cash Flow %s Yr4'!E159*'Cash Flow $s Yr3'!$O160</f>
        <v>0</v>
      </c>
      <c r="F160" s="64">
        <f>'Cash Flow %s Yr4'!F159*'Cash Flow $s Yr3'!$O160</f>
        <v>0</v>
      </c>
      <c r="G160" s="64">
        <f>'Cash Flow %s Yr4'!G159*'Cash Flow $s Yr3'!$O160</f>
        <v>0</v>
      </c>
      <c r="H160" s="64">
        <f>'Cash Flow %s Yr4'!H159*'Cash Flow $s Yr3'!$O160</f>
        <v>0</v>
      </c>
      <c r="I160" s="64">
        <f>'Cash Flow %s Yr4'!I159*'Cash Flow $s Yr3'!$O160</f>
        <v>0</v>
      </c>
      <c r="J160" s="64">
        <f>'Cash Flow %s Yr4'!J159*'Cash Flow $s Yr3'!$O160</f>
        <v>0</v>
      </c>
      <c r="K160" s="64">
        <f>'Cash Flow %s Yr4'!K159*'Cash Flow $s Yr3'!$O160</f>
        <v>0</v>
      </c>
      <c r="L160" s="64">
        <f>'Cash Flow %s Yr4'!L159*'Cash Flow $s Yr3'!$O160</f>
        <v>0</v>
      </c>
      <c r="M160" s="64">
        <f>'Cash Flow %s Yr4'!M159*'Cash Flow $s Yr3'!$O160</f>
        <v>0</v>
      </c>
      <c r="N160" s="64">
        <f>'Cash Flow %s Yr4'!N159*'Cash Flow $s Yr3'!$O160</f>
        <v>0</v>
      </c>
      <c r="O160" s="64">
        <f>'Cash Flow %s Yr4'!O159*'Cash Flow $s Yr3'!$O160</f>
        <v>0</v>
      </c>
      <c r="P160" s="191">
        <f>P51</f>
        <v>76163.564012659001</v>
      </c>
      <c r="Q160" s="191">
        <f>Q51</f>
        <v>10238.980980937498</v>
      </c>
      <c r="R160" s="191">
        <f>R51</f>
        <v>0</v>
      </c>
    </row>
    <row r="161" spans="1:18" s="31" customFormat="1" x14ac:dyDescent="0.2">
      <c r="A161" s="36"/>
      <c r="B161" s="66"/>
      <c r="C161" s="135" t="str">
        <f>'Cash Flow %s Yr4'!C160</f>
        <v>Accounts Payable</v>
      </c>
      <c r="D161" s="64">
        <f>'Cash Flow %s Yr4'!D160*'Cash Flow $s Yr3'!$O161</f>
        <v>0</v>
      </c>
      <c r="E161" s="64">
        <f>'Cash Flow %s Yr4'!E160*'Cash Flow $s Yr3'!$O161</f>
        <v>0</v>
      </c>
      <c r="F161" s="64">
        <f>'Cash Flow %s Yr4'!F160*'Cash Flow $s Yr3'!$O161</f>
        <v>0</v>
      </c>
      <c r="G161" s="64">
        <f>'Cash Flow %s Yr4'!G160*'Cash Flow $s Yr3'!$O161</f>
        <v>0</v>
      </c>
      <c r="H161" s="64">
        <f>'Cash Flow %s Yr4'!H160*'Cash Flow $s Yr3'!$O161</f>
        <v>0</v>
      </c>
      <c r="I161" s="64">
        <f>'Cash Flow %s Yr4'!I160*'Cash Flow $s Yr3'!$O161</f>
        <v>0</v>
      </c>
      <c r="J161" s="64">
        <f>'Cash Flow %s Yr4'!J160*'Cash Flow $s Yr3'!$O161</f>
        <v>0</v>
      </c>
      <c r="K161" s="64">
        <f>'Cash Flow %s Yr4'!K160*'Cash Flow $s Yr3'!$O161</f>
        <v>0</v>
      </c>
      <c r="L161" s="64">
        <f>'Cash Flow %s Yr4'!L160*'Cash Flow $s Yr3'!$O161</f>
        <v>0</v>
      </c>
      <c r="M161" s="64">
        <f>'Cash Flow %s Yr4'!M160*'Cash Flow $s Yr3'!$O161</f>
        <v>0</v>
      </c>
      <c r="N161" s="64">
        <f>'Cash Flow %s Yr4'!N160*'Cash Flow $s Yr3'!$O161</f>
        <v>0</v>
      </c>
      <c r="O161" s="64">
        <f>'Cash Flow %s Yr4'!O160*'Cash Flow $s Yr3'!$O161</f>
        <v>0</v>
      </c>
      <c r="P161" s="103"/>
      <c r="Q161" s="103"/>
      <c r="R161" s="103"/>
    </row>
    <row r="162" spans="1:18" s="31" customFormat="1" x14ac:dyDescent="0.2">
      <c r="A162" s="36"/>
      <c r="B162" s="66"/>
      <c r="C162" s="135" t="str">
        <f>'Cash Flow %s Yr4'!C161</f>
        <v>Loan Principal Payable</v>
      </c>
      <c r="D162" s="64"/>
      <c r="E162" s="64"/>
      <c r="F162" s="64"/>
      <c r="G162" s="64"/>
      <c r="H162" s="64"/>
      <c r="I162" s="64"/>
      <c r="J162" s="64"/>
      <c r="K162" s="64"/>
      <c r="L162" s="64"/>
      <c r="M162" s="64"/>
      <c r="N162" s="64"/>
      <c r="O162" s="64"/>
      <c r="P162" s="103"/>
      <c r="Q162" s="103"/>
      <c r="R162" s="103"/>
    </row>
    <row r="163" spans="1:18" s="31" customFormat="1" x14ac:dyDescent="0.2">
      <c r="A163" s="36"/>
      <c r="B163" s="124"/>
      <c r="C163" s="34" t="s">
        <v>725</v>
      </c>
      <c r="D163" s="85" t="e">
        <f>D159+D160-D161-D162</f>
        <v>#REF!</v>
      </c>
      <c r="E163" s="85">
        <f t="shared" ref="E163:O163" si="14">E159+E160-E161-E162</f>
        <v>0</v>
      </c>
      <c r="F163" s="85">
        <f t="shared" si="14"/>
        <v>0</v>
      </c>
      <c r="G163" s="85">
        <f t="shared" si="14"/>
        <v>0</v>
      </c>
      <c r="H163" s="85">
        <f t="shared" si="14"/>
        <v>0</v>
      </c>
      <c r="I163" s="85">
        <f t="shared" si="14"/>
        <v>0</v>
      </c>
      <c r="J163" s="85">
        <f t="shared" si="14"/>
        <v>0</v>
      </c>
      <c r="K163" s="85">
        <f t="shared" si="14"/>
        <v>0</v>
      </c>
      <c r="L163" s="85">
        <f t="shared" si="14"/>
        <v>0</v>
      </c>
      <c r="M163" s="85">
        <f t="shared" si="14"/>
        <v>0</v>
      </c>
      <c r="N163" s="85">
        <f t="shared" si="14"/>
        <v>0</v>
      </c>
      <c r="O163" s="85">
        <f t="shared" si="14"/>
        <v>0</v>
      </c>
      <c r="P163" s="108"/>
      <c r="Q163" s="108"/>
      <c r="R163" s="108"/>
    </row>
    <row r="164" spans="1:18" s="40" customFormat="1" ht="17" thickBot="1" x14ac:dyDescent="0.25">
      <c r="A164" s="36"/>
      <c r="C164" s="1"/>
      <c r="D164" s="95"/>
      <c r="E164" s="95"/>
      <c r="F164" s="95"/>
      <c r="G164" s="95"/>
      <c r="H164" s="95"/>
      <c r="I164" s="95"/>
      <c r="J164" s="95"/>
      <c r="K164" s="95"/>
      <c r="L164" s="95"/>
      <c r="M164" s="95"/>
      <c r="N164" s="95"/>
      <c r="O164" s="95"/>
      <c r="P164" s="95"/>
      <c r="Q164" s="95"/>
      <c r="R164" s="95"/>
    </row>
    <row r="165" spans="1:18" s="40" customFormat="1" ht="17" thickBot="1" x14ac:dyDescent="0.25">
      <c r="A165" s="74" t="s">
        <v>831</v>
      </c>
      <c r="B165" s="131"/>
      <c r="C165" s="75"/>
      <c r="D165" s="151" t="e">
        <f t="shared" ref="D165:O165" si="15">D51-D156</f>
        <v>#REF!</v>
      </c>
      <c r="E165" s="151" t="e">
        <f t="shared" si="15"/>
        <v>#REF!</v>
      </c>
      <c r="F165" s="151" t="e">
        <f t="shared" si="15"/>
        <v>#REF!</v>
      </c>
      <c r="G165" s="151" t="e">
        <f t="shared" si="15"/>
        <v>#REF!</v>
      </c>
      <c r="H165" s="151" t="e">
        <f t="shared" si="15"/>
        <v>#REF!</v>
      </c>
      <c r="I165" s="151" t="e">
        <f t="shared" si="15"/>
        <v>#REF!</v>
      </c>
      <c r="J165" s="151" t="e">
        <f t="shared" si="15"/>
        <v>#REF!</v>
      </c>
      <c r="K165" s="151" t="e">
        <f t="shared" si="15"/>
        <v>#REF!</v>
      </c>
      <c r="L165" s="151" t="e">
        <f t="shared" si="15"/>
        <v>#REF!</v>
      </c>
      <c r="M165" s="151" t="e">
        <f t="shared" si="15"/>
        <v>#REF!</v>
      </c>
      <c r="N165" s="151" t="e">
        <f t="shared" si="15"/>
        <v>#REF!</v>
      </c>
      <c r="O165" s="152" t="e">
        <f t="shared" si="15"/>
        <v>#REF!</v>
      </c>
      <c r="P165" s="95"/>
      <c r="Q165" s="95"/>
      <c r="R165" s="95"/>
    </row>
    <row r="166" spans="1:18" s="40" customFormat="1" ht="17" thickBot="1" x14ac:dyDescent="0.25">
      <c r="A166" s="36"/>
      <c r="C166" s="1"/>
      <c r="D166" s="153"/>
      <c r="E166" s="153"/>
      <c r="F166" s="153"/>
      <c r="G166" s="153"/>
      <c r="H166" s="153"/>
      <c r="I166" s="153"/>
      <c r="J166" s="153"/>
      <c r="K166" s="153"/>
      <c r="L166" s="153"/>
      <c r="M166" s="153"/>
      <c r="N166" s="153"/>
      <c r="O166" s="153"/>
      <c r="P166" s="95"/>
      <c r="Q166" s="95"/>
      <c r="R166" s="95"/>
    </row>
    <row r="167" spans="1:18" s="40" customFormat="1" ht="17" thickBot="1" x14ac:dyDescent="0.25">
      <c r="A167" s="74" t="s">
        <v>822</v>
      </c>
      <c r="B167" s="131"/>
      <c r="C167" s="75"/>
      <c r="D167" s="151" t="e">
        <f>D163+D165</f>
        <v>#REF!</v>
      </c>
      <c r="E167" s="151" t="e">
        <f t="shared" ref="E167:O167" si="16">E163+E165</f>
        <v>#REF!</v>
      </c>
      <c r="F167" s="151" t="e">
        <f t="shared" si="16"/>
        <v>#REF!</v>
      </c>
      <c r="G167" s="151" t="e">
        <f t="shared" si="16"/>
        <v>#REF!</v>
      </c>
      <c r="H167" s="151" t="e">
        <f t="shared" si="16"/>
        <v>#REF!</v>
      </c>
      <c r="I167" s="151" t="e">
        <f t="shared" si="16"/>
        <v>#REF!</v>
      </c>
      <c r="J167" s="151" t="e">
        <f t="shared" si="16"/>
        <v>#REF!</v>
      </c>
      <c r="K167" s="151" t="e">
        <f t="shared" si="16"/>
        <v>#REF!</v>
      </c>
      <c r="L167" s="151" t="e">
        <f t="shared" si="16"/>
        <v>#REF!</v>
      </c>
      <c r="M167" s="151" t="e">
        <f t="shared" si="16"/>
        <v>#REF!</v>
      </c>
      <c r="N167" s="151" t="e">
        <f t="shared" si="16"/>
        <v>#REF!</v>
      </c>
      <c r="O167" s="152" t="e">
        <f t="shared" si="16"/>
        <v>#REF!</v>
      </c>
      <c r="P167" s="95"/>
      <c r="Q167" s="95"/>
      <c r="R167" s="95"/>
    </row>
    <row r="168" spans="1:18" s="40" customFormat="1" ht="17" thickBot="1" x14ac:dyDescent="0.25">
      <c r="A168" s="36"/>
      <c r="C168" s="1"/>
      <c r="D168" s="95"/>
      <c r="E168" s="95"/>
      <c r="F168" s="95"/>
      <c r="G168" s="95"/>
      <c r="H168" s="95"/>
      <c r="I168" s="95"/>
      <c r="J168" s="95"/>
      <c r="K168" s="95"/>
      <c r="L168" s="95"/>
      <c r="M168" s="95"/>
      <c r="N168" s="95"/>
      <c r="O168" s="95"/>
      <c r="P168" s="95"/>
      <c r="Q168" s="95"/>
      <c r="R168" s="95"/>
    </row>
    <row r="169" spans="1:18" s="40" customFormat="1" ht="17" thickBot="1" x14ac:dyDescent="0.25">
      <c r="A169" s="74" t="s">
        <v>832</v>
      </c>
      <c r="B169" s="131"/>
      <c r="C169" s="75"/>
      <c r="D169" s="151" t="e">
        <f>D167</f>
        <v>#REF!</v>
      </c>
      <c r="E169" s="151" t="e">
        <f>D169+E167</f>
        <v>#REF!</v>
      </c>
      <c r="F169" s="151" t="e">
        <f t="shared" ref="F169:O169" si="17">E169+F167</f>
        <v>#REF!</v>
      </c>
      <c r="G169" s="151" t="e">
        <f t="shared" si="17"/>
        <v>#REF!</v>
      </c>
      <c r="H169" s="151" t="e">
        <f t="shared" si="17"/>
        <v>#REF!</v>
      </c>
      <c r="I169" s="151" t="e">
        <f t="shared" si="17"/>
        <v>#REF!</v>
      </c>
      <c r="J169" s="151" t="e">
        <f t="shared" si="17"/>
        <v>#REF!</v>
      </c>
      <c r="K169" s="151" t="e">
        <f t="shared" si="17"/>
        <v>#REF!</v>
      </c>
      <c r="L169" s="151" t="e">
        <f t="shared" si="17"/>
        <v>#REF!</v>
      </c>
      <c r="M169" s="151" t="e">
        <f t="shared" si="17"/>
        <v>#REF!</v>
      </c>
      <c r="N169" s="151" t="e">
        <f t="shared" si="17"/>
        <v>#REF!</v>
      </c>
      <c r="O169" s="152" t="e">
        <f t="shared" si="17"/>
        <v>#REF!</v>
      </c>
      <c r="P169" s="95"/>
      <c r="Q169" s="95"/>
      <c r="R169" s="95"/>
    </row>
    <row r="170" spans="1:18" s="40" customFormat="1" x14ac:dyDescent="0.2">
      <c r="A170" s="36"/>
      <c r="C170" s="1"/>
      <c r="D170" s="95"/>
      <c r="E170" s="95"/>
      <c r="F170" s="95"/>
      <c r="G170" s="95"/>
      <c r="H170" s="95"/>
      <c r="I170" s="95"/>
      <c r="J170" s="95"/>
      <c r="K170" s="95"/>
      <c r="L170" s="95"/>
      <c r="M170" s="95"/>
      <c r="N170" s="95"/>
      <c r="O170" s="95"/>
      <c r="P170" s="95"/>
      <c r="Q170" s="95"/>
      <c r="R170" s="95"/>
    </row>
    <row r="171" spans="1:18" s="40" customFormat="1" x14ac:dyDescent="0.2">
      <c r="A171" s="36"/>
      <c r="C171" s="1"/>
      <c r="D171" s="95"/>
      <c r="E171" s="95"/>
      <c r="F171" s="95"/>
      <c r="G171" s="95"/>
      <c r="H171" s="95"/>
      <c r="I171" s="95"/>
      <c r="J171" s="95"/>
      <c r="K171" s="95"/>
      <c r="L171" s="95"/>
      <c r="M171" s="95"/>
      <c r="N171" s="95"/>
      <c r="O171" s="95"/>
      <c r="P171" s="95"/>
      <c r="Q171" s="95"/>
      <c r="R171" s="95"/>
    </row>
    <row r="172" spans="1:18" s="40" customFormat="1" x14ac:dyDescent="0.2">
      <c r="A172" s="36"/>
      <c r="C172" s="1"/>
      <c r="D172" s="95"/>
      <c r="E172" s="95"/>
      <c r="F172" s="95"/>
      <c r="G172" s="95"/>
      <c r="H172" s="95"/>
      <c r="I172" s="95"/>
      <c r="J172" s="95"/>
      <c r="K172" s="95"/>
      <c r="L172" s="95"/>
      <c r="M172" s="95"/>
      <c r="N172" s="95"/>
      <c r="O172" s="95"/>
      <c r="P172" s="95"/>
      <c r="Q172" s="95"/>
      <c r="R172" s="95"/>
    </row>
  </sheetData>
  <pageMargins left="0.25" right="0.25" top="0.5" bottom="0.5" header="0.25" footer="0.25"/>
  <pageSetup scale="53" fitToHeight="3" orientation="landscape" r:id="rId1"/>
  <headerFooter alignWithMargins="0">
    <oddHeader>&amp;A</oddHeader>
    <oddFoote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N155"/>
  <sheetViews>
    <sheetView topLeftCell="A49" zoomScale="90" zoomScaleNormal="90" zoomScalePageLayoutView="90" workbookViewId="0">
      <selection activeCell="E23" sqref="E23"/>
    </sheetView>
  </sheetViews>
  <sheetFormatPr baseColWidth="10" defaultColWidth="8.83203125" defaultRowHeight="16" outlineLevelCol="1" x14ac:dyDescent="0.2"/>
  <cols>
    <col min="1" max="1" width="5.6640625" style="35" customWidth="1"/>
    <col min="2" max="2" width="5.1640625" style="1" customWidth="1"/>
    <col min="3" max="3" width="42.5" style="1" customWidth="1"/>
    <col min="4" max="4" width="20.33203125" style="31" bestFit="1" customWidth="1"/>
    <col min="5" max="8" width="20.33203125" style="31" customWidth="1" outlineLevel="1"/>
    <col min="9" max="11" width="8.83203125" style="31"/>
    <col min="12" max="257" width="8.83203125" style="1"/>
    <col min="258" max="258" width="22.83203125" style="1" customWidth="1"/>
    <col min="259" max="513" width="8.83203125" style="1"/>
    <col min="514" max="514" width="22.83203125" style="1" customWidth="1"/>
    <col min="515" max="769" width="8.83203125" style="1"/>
    <col min="770" max="770" width="22.83203125" style="1" customWidth="1"/>
    <col min="771" max="1025" width="8.83203125" style="1"/>
    <col min="1026" max="1026" width="22.83203125" style="1" customWidth="1"/>
    <col min="1027" max="1281" width="8.83203125" style="1"/>
    <col min="1282" max="1282" width="22.83203125" style="1" customWidth="1"/>
    <col min="1283" max="1537" width="8.83203125" style="1"/>
    <col min="1538" max="1538" width="22.83203125" style="1" customWidth="1"/>
    <col min="1539" max="1793" width="8.83203125" style="1"/>
    <col min="1794" max="1794" width="22.83203125" style="1" customWidth="1"/>
    <col min="1795" max="2049" width="8.83203125" style="1"/>
    <col min="2050" max="2050" width="22.83203125" style="1" customWidth="1"/>
    <col min="2051" max="2305" width="8.83203125" style="1"/>
    <col min="2306" max="2306" width="22.83203125" style="1" customWidth="1"/>
    <col min="2307" max="2561" width="8.83203125" style="1"/>
    <col min="2562" max="2562" width="22.83203125" style="1" customWidth="1"/>
    <col min="2563" max="2817" width="8.83203125" style="1"/>
    <col min="2818" max="2818" width="22.83203125" style="1" customWidth="1"/>
    <col min="2819" max="3073" width="8.83203125" style="1"/>
    <col min="3074" max="3074" width="22.83203125" style="1" customWidth="1"/>
    <col min="3075" max="3329" width="8.83203125" style="1"/>
    <col min="3330" max="3330" width="22.83203125" style="1" customWidth="1"/>
    <col min="3331" max="3585" width="8.83203125" style="1"/>
    <col min="3586" max="3586" width="22.83203125" style="1" customWidth="1"/>
    <col min="3587" max="3841" width="8.83203125" style="1"/>
    <col min="3842" max="3842" width="22.83203125" style="1" customWidth="1"/>
    <col min="3843" max="4097" width="8.83203125" style="1"/>
    <col min="4098" max="4098" width="22.83203125" style="1" customWidth="1"/>
    <col min="4099" max="4353" width="8.83203125" style="1"/>
    <col min="4354" max="4354" width="22.83203125" style="1" customWidth="1"/>
    <col min="4355" max="4609" width="8.83203125" style="1"/>
    <col min="4610" max="4610" width="22.83203125" style="1" customWidth="1"/>
    <col min="4611" max="4865" width="8.83203125" style="1"/>
    <col min="4866" max="4866" width="22.83203125" style="1" customWidth="1"/>
    <col min="4867" max="5121" width="8.83203125" style="1"/>
    <col min="5122" max="5122" width="22.83203125" style="1" customWidth="1"/>
    <col min="5123" max="5377" width="8.83203125" style="1"/>
    <col min="5378" max="5378" width="22.83203125" style="1" customWidth="1"/>
    <col min="5379" max="5633" width="8.83203125" style="1"/>
    <col min="5634" max="5634" width="22.83203125" style="1" customWidth="1"/>
    <col min="5635" max="5889" width="8.83203125" style="1"/>
    <col min="5890" max="5890" width="22.83203125" style="1" customWidth="1"/>
    <col min="5891" max="6145" width="8.83203125" style="1"/>
    <col min="6146" max="6146" width="22.83203125" style="1" customWidth="1"/>
    <col min="6147" max="6401" width="8.83203125" style="1"/>
    <col min="6402" max="6402" width="22.83203125" style="1" customWidth="1"/>
    <col min="6403" max="6657" width="8.83203125" style="1"/>
    <col min="6658" max="6658" width="22.83203125" style="1" customWidth="1"/>
    <col min="6659" max="6913" width="8.83203125" style="1"/>
    <col min="6914" max="6914" width="22.83203125" style="1" customWidth="1"/>
    <col min="6915" max="7169" width="8.83203125" style="1"/>
    <col min="7170" max="7170" width="22.83203125" style="1" customWidth="1"/>
    <col min="7171" max="7425" width="8.83203125" style="1"/>
    <col min="7426" max="7426" width="22.83203125" style="1" customWidth="1"/>
    <col min="7427" max="7681" width="8.83203125" style="1"/>
    <col min="7682" max="7682" width="22.83203125" style="1" customWidth="1"/>
    <col min="7683" max="7937" width="8.83203125" style="1"/>
    <col min="7938" max="7938" width="22.83203125" style="1" customWidth="1"/>
    <col min="7939" max="8193" width="8.83203125" style="1"/>
    <col min="8194" max="8194" width="22.83203125" style="1" customWidth="1"/>
    <col min="8195" max="8449" width="8.83203125" style="1"/>
    <col min="8450" max="8450" width="22.83203125" style="1" customWidth="1"/>
    <col min="8451" max="8705" width="8.83203125" style="1"/>
    <col min="8706" max="8706" width="22.83203125" style="1" customWidth="1"/>
    <col min="8707" max="8961" width="8.83203125" style="1"/>
    <col min="8962" max="8962" width="22.83203125" style="1" customWidth="1"/>
    <col min="8963" max="9217" width="8.83203125" style="1"/>
    <col min="9218" max="9218" width="22.83203125" style="1" customWidth="1"/>
    <col min="9219" max="9473" width="8.83203125" style="1"/>
    <col min="9474" max="9474" width="22.83203125" style="1" customWidth="1"/>
    <col min="9475" max="9729" width="8.83203125" style="1"/>
    <col min="9730" max="9730" width="22.83203125" style="1" customWidth="1"/>
    <col min="9731" max="9985" width="8.83203125" style="1"/>
    <col min="9986" max="9986" width="22.83203125" style="1" customWidth="1"/>
    <col min="9987" max="10241" width="8.83203125" style="1"/>
    <col min="10242" max="10242" width="22.83203125" style="1" customWidth="1"/>
    <col min="10243" max="10497" width="8.83203125" style="1"/>
    <col min="10498" max="10498" width="22.83203125" style="1" customWidth="1"/>
    <col min="10499" max="10753" width="8.83203125" style="1"/>
    <col min="10754" max="10754" width="22.83203125" style="1" customWidth="1"/>
    <col min="10755" max="11009" width="8.83203125" style="1"/>
    <col min="11010" max="11010" width="22.83203125" style="1" customWidth="1"/>
    <col min="11011" max="11265" width="8.83203125" style="1"/>
    <col min="11266" max="11266" width="22.83203125" style="1" customWidth="1"/>
    <col min="11267" max="11521" width="8.83203125" style="1"/>
    <col min="11522" max="11522" width="22.83203125" style="1" customWidth="1"/>
    <col min="11523" max="11777" width="8.83203125" style="1"/>
    <col min="11778" max="11778" width="22.83203125" style="1" customWidth="1"/>
    <col min="11779" max="12033" width="8.83203125" style="1"/>
    <col min="12034" max="12034" width="22.83203125" style="1" customWidth="1"/>
    <col min="12035" max="12289" width="8.83203125" style="1"/>
    <col min="12290" max="12290" width="22.83203125" style="1" customWidth="1"/>
    <col min="12291" max="12545" width="8.83203125" style="1"/>
    <col min="12546" max="12546" width="22.83203125" style="1" customWidth="1"/>
    <col min="12547" max="12801" width="8.83203125" style="1"/>
    <col min="12802" max="12802" width="22.83203125" style="1" customWidth="1"/>
    <col min="12803" max="13057" width="8.83203125" style="1"/>
    <col min="13058" max="13058" width="22.83203125" style="1" customWidth="1"/>
    <col min="13059" max="13313" width="8.83203125" style="1"/>
    <col min="13314" max="13314" width="22.83203125" style="1" customWidth="1"/>
    <col min="13315" max="13569" width="8.83203125" style="1"/>
    <col min="13570" max="13570" width="22.83203125" style="1" customWidth="1"/>
    <col min="13571" max="13825" width="8.83203125" style="1"/>
    <col min="13826" max="13826" width="22.83203125" style="1" customWidth="1"/>
    <col min="13827" max="14081" width="8.83203125" style="1"/>
    <col min="14082" max="14082" width="22.83203125" style="1" customWidth="1"/>
    <col min="14083" max="14337" width="8.83203125" style="1"/>
    <col min="14338" max="14338" width="22.83203125" style="1" customWidth="1"/>
    <col min="14339" max="14593" width="8.83203125" style="1"/>
    <col min="14594" max="14594" width="22.83203125" style="1" customWidth="1"/>
    <col min="14595" max="14849" width="8.83203125" style="1"/>
    <col min="14850" max="14850" width="22.83203125" style="1" customWidth="1"/>
    <col min="14851" max="15105" width="8.83203125" style="1"/>
    <col min="15106" max="15106" width="22.83203125" style="1" customWidth="1"/>
    <col min="15107" max="15361" width="8.83203125" style="1"/>
    <col min="15362" max="15362" width="22.83203125" style="1" customWidth="1"/>
    <col min="15363" max="15617" width="8.83203125" style="1"/>
    <col min="15618" max="15618" width="22.83203125" style="1" customWidth="1"/>
    <col min="15619" max="15873" width="8.83203125" style="1"/>
    <col min="15874" max="15874" width="22.83203125" style="1" customWidth="1"/>
    <col min="15875" max="16129" width="8.83203125" style="1"/>
    <col min="16130" max="16130" width="22.83203125" style="1" customWidth="1"/>
    <col min="16131" max="16384" width="8.83203125" style="1"/>
  </cols>
  <sheetData>
    <row r="1" spans="1:14" ht="20" x14ac:dyDescent="0.2">
      <c r="A1" s="20" t="s">
        <v>1222</v>
      </c>
    </row>
    <row r="2" spans="1:14" ht="18" x14ac:dyDescent="0.2">
      <c r="A2" s="21" t="s">
        <v>778</v>
      </c>
    </row>
    <row r="3" spans="1:14" ht="18" x14ac:dyDescent="0.2">
      <c r="A3" s="156" t="s">
        <v>1220</v>
      </c>
    </row>
    <row r="4" spans="1:14" ht="29.25" customHeight="1" x14ac:dyDescent="0.2"/>
    <row r="5" spans="1:14" ht="17.25" customHeight="1" x14ac:dyDescent="0.2"/>
    <row r="6" spans="1:14" ht="18" x14ac:dyDescent="0.2">
      <c r="A6" s="29"/>
      <c r="B6" s="29"/>
      <c r="C6" s="29"/>
      <c r="D6" s="286"/>
      <c r="E6" s="286"/>
      <c r="F6" s="286"/>
      <c r="G6" s="286"/>
      <c r="H6" s="286"/>
    </row>
    <row r="7" spans="1:14" s="31" customFormat="1" ht="19" thickBot="1" x14ac:dyDescent="0.25">
      <c r="A7" s="30"/>
      <c r="B7" s="30"/>
      <c r="C7" s="30"/>
      <c r="D7" s="69" t="s">
        <v>913</v>
      </c>
      <c r="E7" s="69" t="s">
        <v>914</v>
      </c>
      <c r="F7" s="69" t="s">
        <v>1099</v>
      </c>
      <c r="G7" s="69" t="s">
        <v>1204</v>
      </c>
      <c r="H7" s="69" t="s">
        <v>1221</v>
      </c>
      <c r="L7" s="1"/>
      <c r="M7" s="1"/>
      <c r="N7" s="1"/>
    </row>
    <row r="8" spans="1:14" s="31" customFormat="1" x14ac:dyDescent="0.2">
      <c r="A8" s="49" t="s">
        <v>748</v>
      </c>
      <c r="B8" s="50"/>
      <c r="C8" s="49"/>
      <c r="D8" s="51"/>
      <c r="E8" s="52"/>
      <c r="F8" s="52"/>
      <c r="G8" s="52"/>
      <c r="H8" s="53"/>
      <c r="L8" s="1"/>
      <c r="M8" s="1"/>
      <c r="N8" s="1"/>
    </row>
    <row r="9" spans="1:14" s="31" customFormat="1" x14ac:dyDescent="0.2">
      <c r="A9" s="50"/>
      <c r="B9" s="54" t="s">
        <v>749</v>
      </c>
      <c r="C9" s="55"/>
      <c r="D9" s="56">
        <v>0</v>
      </c>
      <c r="E9" s="56">
        <v>0</v>
      </c>
      <c r="F9" s="56">
        <v>0</v>
      </c>
      <c r="G9" s="56">
        <v>0</v>
      </c>
      <c r="H9" s="56">
        <v>0</v>
      </c>
      <c r="L9" s="1"/>
      <c r="M9" s="1"/>
      <c r="N9" s="1"/>
    </row>
    <row r="10" spans="1:14" s="31" customFormat="1" x14ac:dyDescent="0.2">
      <c r="A10" s="50"/>
      <c r="B10" s="54" t="s">
        <v>750</v>
      </c>
      <c r="C10" s="55"/>
      <c r="D10" s="56">
        <v>10</v>
      </c>
      <c r="E10" s="56">
        <v>10</v>
      </c>
      <c r="F10" s="56">
        <v>10</v>
      </c>
      <c r="G10" s="56">
        <v>10</v>
      </c>
      <c r="H10" s="56">
        <v>10</v>
      </c>
      <c r="L10" s="1"/>
      <c r="M10" s="1"/>
      <c r="N10" s="1"/>
    </row>
    <row r="11" spans="1:14" s="31" customFormat="1" x14ac:dyDescent="0.2">
      <c r="A11" s="50"/>
      <c r="B11" s="54" t="s">
        <v>751</v>
      </c>
      <c r="C11" s="55"/>
      <c r="D11" s="56">
        <v>11</v>
      </c>
      <c r="E11" s="56">
        <v>11</v>
      </c>
      <c r="F11" s="56">
        <v>11</v>
      </c>
      <c r="G11" s="56">
        <v>11</v>
      </c>
      <c r="H11" s="56">
        <v>11</v>
      </c>
      <c r="L11" s="1"/>
      <c r="M11" s="1"/>
      <c r="N11" s="1"/>
    </row>
    <row r="12" spans="1:14" s="31" customFormat="1" x14ac:dyDescent="0.2">
      <c r="A12" s="50"/>
      <c r="B12" s="54" t="s">
        <v>752</v>
      </c>
      <c r="C12" s="55"/>
      <c r="D12" s="56">
        <v>12</v>
      </c>
      <c r="E12" s="56">
        <v>12</v>
      </c>
      <c r="F12" s="56">
        <v>12</v>
      </c>
      <c r="G12" s="56">
        <v>12</v>
      </c>
      <c r="H12" s="56">
        <v>12</v>
      </c>
      <c r="L12" s="1"/>
      <c r="M12" s="1"/>
      <c r="N12" s="1"/>
    </row>
    <row r="13" spans="1:14" s="31" customFormat="1" x14ac:dyDescent="0.2">
      <c r="A13" s="50"/>
      <c r="B13" s="54" t="s">
        <v>753</v>
      </c>
      <c r="C13" s="55"/>
      <c r="D13" s="56">
        <v>13</v>
      </c>
      <c r="E13" s="56">
        <v>13</v>
      </c>
      <c r="F13" s="56">
        <v>13</v>
      </c>
      <c r="G13" s="56">
        <v>13</v>
      </c>
      <c r="H13" s="56">
        <v>13</v>
      </c>
      <c r="L13" s="1"/>
      <c r="M13" s="1"/>
      <c r="N13" s="1"/>
    </row>
    <row r="14" spans="1:14" s="31" customFormat="1" x14ac:dyDescent="0.2">
      <c r="A14" s="50"/>
      <c r="B14" s="54" t="s">
        <v>754</v>
      </c>
      <c r="C14" s="55"/>
      <c r="D14" s="56">
        <v>12</v>
      </c>
      <c r="E14" s="56">
        <v>12</v>
      </c>
      <c r="F14" s="56">
        <v>12</v>
      </c>
      <c r="G14" s="56">
        <v>12</v>
      </c>
      <c r="H14" s="56">
        <v>12</v>
      </c>
      <c r="L14" s="1"/>
      <c r="M14" s="1"/>
      <c r="N14" s="1"/>
    </row>
    <row r="15" spans="1:14" s="31" customFormat="1" x14ac:dyDescent="0.2">
      <c r="A15" s="50"/>
      <c r="B15" s="54" t="s">
        <v>755</v>
      </c>
      <c r="C15" s="55"/>
      <c r="D15" s="56">
        <v>13</v>
      </c>
      <c r="E15" s="56">
        <v>13</v>
      </c>
      <c r="F15" s="56">
        <v>13</v>
      </c>
      <c r="G15" s="56">
        <v>13</v>
      </c>
      <c r="H15" s="56">
        <v>13</v>
      </c>
      <c r="L15" s="1"/>
      <c r="M15" s="1"/>
      <c r="N15" s="1"/>
    </row>
    <row r="16" spans="1:14" s="31" customFormat="1" x14ac:dyDescent="0.2">
      <c r="A16" s="50"/>
      <c r="B16" s="54" t="s">
        <v>756</v>
      </c>
      <c r="C16" s="55"/>
      <c r="D16" s="56">
        <v>14</v>
      </c>
      <c r="E16" s="56">
        <v>14</v>
      </c>
      <c r="F16" s="56">
        <v>14</v>
      </c>
      <c r="G16" s="56">
        <v>14</v>
      </c>
      <c r="H16" s="56">
        <v>14</v>
      </c>
      <c r="L16" s="1"/>
      <c r="M16" s="1"/>
      <c r="N16" s="1"/>
    </row>
    <row r="17" spans="1:14" s="31" customFormat="1" x14ac:dyDescent="0.2">
      <c r="A17" s="50"/>
      <c r="B17" s="54" t="s">
        <v>757</v>
      </c>
      <c r="C17" s="55"/>
      <c r="D17" s="56">
        <v>13</v>
      </c>
      <c r="E17" s="56">
        <v>13</v>
      </c>
      <c r="F17" s="56">
        <v>13</v>
      </c>
      <c r="G17" s="56">
        <v>13</v>
      </c>
      <c r="H17" s="56">
        <v>13</v>
      </c>
      <c r="L17" s="1"/>
      <c r="M17" s="1"/>
      <c r="N17" s="1"/>
    </row>
    <row r="18" spans="1:14" s="31" customFormat="1" x14ac:dyDescent="0.2">
      <c r="A18" s="50"/>
      <c r="B18" s="54" t="s">
        <v>758</v>
      </c>
      <c r="C18" s="55"/>
      <c r="D18" s="56">
        <v>6</v>
      </c>
      <c r="E18" s="56">
        <v>6</v>
      </c>
      <c r="F18" s="56">
        <v>6</v>
      </c>
      <c r="G18" s="56">
        <v>6</v>
      </c>
      <c r="H18" s="56">
        <v>6</v>
      </c>
      <c r="L18" s="1"/>
      <c r="M18" s="1"/>
      <c r="N18" s="1"/>
    </row>
    <row r="19" spans="1:14" s="31" customFormat="1" x14ac:dyDescent="0.2">
      <c r="A19" s="50"/>
      <c r="B19" s="54" t="s">
        <v>759</v>
      </c>
      <c r="C19" s="55"/>
      <c r="D19" s="56">
        <v>5</v>
      </c>
      <c r="E19" s="56">
        <v>5</v>
      </c>
      <c r="F19" s="56">
        <v>5</v>
      </c>
      <c r="G19" s="56">
        <v>5</v>
      </c>
      <c r="H19" s="56">
        <v>5</v>
      </c>
      <c r="L19" s="1"/>
      <c r="M19" s="1"/>
      <c r="N19" s="1"/>
    </row>
    <row r="20" spans="1:14" s="31" customFormat="1" x14ac:dyDescent="0.2">
      <c r="A20" s="50"/>
      <c r="B20" s="54" t="s">
        <v>760</v>
      </c>
      <c r="C20" s="55"/>
      <c r="D20" s="56">
        <v>5</v>
      </c>
      <c r="E20" s="56">
        <v>5</v>
      </c>
      <c r="F20" s="56">
        <v>5</v>
      </c>
      <c r="G20" s="56">
        <v>5</v>
      </c>
      <c r="H20" s="56">
        <v>5</v>
      </c>
      <c r="L20" s="1"/>
      <c r="M20" s="1"/>
      <c r="N20" s="1"/>
    </row>
    <row r="21" spans="1:14" s="31" customFormat="1" x14ac:dyDescent="0.2">
      <c r="A21" s="50"/>
      <c r="B21" s="54" t="s">
        <v>761</v>
      </c>
      <c r="C21" s="55"/>
      <c r="D21" s="56">
        <v>5</v>
      </c>
      <c r="E21" s="56">
        <v>5</v>
      </c>
      <c r="F21" s="56">
        <v>5</v>
      </c>
      <c r="G21" s="56">
        <v>5</v>
      </c>
      <c r="H21" s="56">
        <v>5</v>
      </c>
      <c r="L21" s="1"/>
      <c r="M21" s="1"/>
      <c r="N21" s="1"/>
    </row>
    <row r="22" spans="1:14" s="31" customFormat="1" x14ac:dyDescent="0.2">
      <c r="A22" s="50"/>
      <c r="B22" s="54" t="s">
        <v>1208</v>
      </c>
      <c r="C22" s="54"/>
      <c r="D22" s="56">
        <v>0</v>
      </c>
      <c r="E22" s="56">
        <v>0</v>
      </c>
      <c r="F22" s="56">
        <v>0</v>
      </c>
      <c r="G22" s="56">
        <v>0</v>
      </c>
      <c r="H22" s="56">
        <v>0</v>
      </c>
      <c r="L22" s="1"/>
      <c r="M22" s="1"/>
      <c r="N22" s="1"/>
    </row>
    <row r="23" spans="1:14" s="31" customFormat="1" x14ac:dyDescent="0.2">
      <c r="A23" s="50"/>
      <c r="B23" s="55" t="s">
        <v>763</v>
      </c>
      <c r="C23" s="54"/>
      <c r="D23" s="60">
        <f>IF(SUM(D9:D22)&gt;0,SUM(D9:D22),"")</f>
        <v>119</v>
      </c>
      <c r="E23" s="60">
        <f>IF(SUM(E9:E22)&gt;0,SUM(E9:E22),"")</f>
        <v>119</v>
      </c>
      <c r="F23" s="60">
        <f>IF(SUM(F9:F22)&gt;0,SUM(F9:F22),"")</f>
        <v>119</v>
      </c>
      <c r="G23" s="60">
        <f>IF(SUM(G9:G22)&gt;0,SUM(G9:G22),"")</f>
        <v>119</v>
      </c>
      <c r="H23" s="60">
        <f>IF(SUM(H9:H22)&gt;0,SUM(H9:H22),"")</f>
        <v>119</v>
      </c>
      <c r="L23" s="1"/>
      <c r="M23" s="1"/>
      <c r="N23" s="1"/>
    </row>
    <row r="24" spans="1:14" s="31" customFormat="1" ht="18" x14ac:dyDescent="0.2">
      <c r="A24" s="47"/>
      <c r="B24" s="47"/>
      <c r="C24" s="47"/>
      <c r="D24" s="48"/>
      <c r="E24" s="48"/>
      <c r="F24" s="48"/>
      <c r="G24" s="48"/>
      <c r="H24" s="48"/>
      <c r="L24" s="1"/>
      <c r="M24" s="1"/>
      <c r="N24" s="1"/>
    </row>
    <row r="25" spans="1:14" s="31" customFormat="1" x14ac:dyDescent="0.2">
      <c r="A25" s="49" t="s">
        <v>764</v>
      </c>
      <c r="B25" s="50"/>
      <c r="C25" s="49"/>
      <c r="D25" s="51"/>
      <c r="E25" s="52"/>
      <c r="F25" s="52"/>
      <c r="G25" s="52"/>
      <c r="H25" s="53"/>
      <c r="L25" s="1"/>
      <c r="M25" s="1"/>
      <c r="N25" s="1"/>
    </row>
    <row r="26" spans="1:14" s="31" customFormat="1" x14ac:dyDescent="0.2">
      <c r="A26" s="50"/>
      <c r="B26" s="54" t="s">
        <v>749</v>
      </c>
      <c r="C26" s="55"/>
      <c r="D26" s="59">
        <v>0.96</v>
      </c>
      <c r="E26" s="59">
        <v>0.96</v>
      </c>
      <c r="F26" s="59">
        <v>0.96</v>
      </c>
      <c r="G26" s="59">
        <v>0.96</v>
      </c>
      <c r="H26" s="59">
        <v>0.96</v>
      </c>
      <c r="L26" s="1"/>
      <c r="M26" s="1"/>
      <c r="N26" s="1"/>
    </row>
    <row r="27" spans="1:14" s="31" customFormat="1" ht="18" x14ac:dyDescent="0.2">
      <c r="A27" s="47"/>
      <c r="B27" s="54" t="s">
        <v>750</v>
      </c>
      <c r="C27" s="55"/>
      <c r="D27" s="59">
        <v>0.95</v>
      </c>
      <c r="E27" s="59">
        <v>0.95</v>
      </c>
      <c r="F27" s="59">
        <v>0.95</v>
      </c>
      <c r="G27" s="59">
        <v>0.95</v>
      </c>
      <c r="H27" s="59">
        <v>0.95</v>
      </c>
      <c r="L27" s="1"/>
      <c r="M27" s="1"/>
      <c r="N27" s="1"/>
    </row>
    <row r="28" spans="1:14" s="31" customFormat="1" ht="18" x14ac:dyDescent="0.2">
      <c r="A28" s="47"/>
      <c r="B28" s="54" t="s">
        <v>751</v>
      </c>
      <c r="C28" s="55"/>
      <c r="D28" s="59">
        <v>0.95</v>
      </c>
      <c r="E28" s="59">
        <v>0.95</v>
      </c>
      <c r="F28" s="59">
        <v>0.95</v>
      </c>
      <c r="G28" s="59">
        <v>0.95</v>
      </c>
      <c r="H28" s="59">
        <v>0.95</v>
      </c>
      <c r="L28" s="1"/>
      <c r="M28" s="1"/>
      <c r="N28" s="1"/>
    </row>
    <row r="29" spans="1:14" s="31" customFormat="1" ht="18" x14ac:dyDescent="0.2">
      <c r="A29" s="47"/>
      <c r="B29" s="54" t="s">
        <v>752</v>
      </c>
      <c r="C29" s="55"/>
      <c r="D29" s="59">
        <v>0.95</v>
      </c>
      <c r="E29" s="59">
        <v>0.95</v>
      </c>
      <c r="F29" s="59">
        <v>0.95</v>
      </c>
      <c r="G29" s="59">
        <v>0.95</v>
      </c>
      <c r="H29" s="59">
        <v>0.95</v>
      </c>
      <c r="L29" s="1"/>
      <c r="M29" s="1"/>
      <c r="N29" s="1"/>
    </row>
    <row r="30" spans="1:14" s="31" customFormat="1" ht="18" x14ac:dyDescent="0.2">
      <c r="A30" s="47"/>
      <c r="B30" s="54" t="s">
        <v>753</v>
      </c>
      <c r="C30" s="55"/>
      <c r="D30" s="59">
        <v>0.95</v>
      </c>
      <c r="E30" s="59">
        <v>0.95</v>
      </c>
      <c r="F30" s="59">
        <v>0.95</v>
      </c>
      <c r="G30" s="59">
        <v>0.95</v>
      </c>
      <c r="H30" s="59">
        <v>0.95</v>
      </c>
      <c r="L30" s="1"/>
      <c r="M30" s="1"/>
      <c r="N30" s="1"/>
    </row>
    <row r="31" spans="1:14" s="31" customFormat="1" ht="18" x14ac:dyDescent="0.2">
      <c r="A31" s="47"/>
      <c r="B31" s="54" t="s">
        <v>754</v>
      </c>
      <c r="C31" s="55"/>
      <c r="D31" s="59">
        <v>0.95</v>
      </c>
      <c r="E31" s="59">
        <v>0.95</v>
      </c>
      <c r="F31" s="59">
        <v>0.95</v>
      </c>
      <c r="G31" s="59">
        <v>0.95</v>
      </c>
      <c r="H31" s="59">
        <v>0.95</v>
      </c>
      <c r="L31" s="1"/>
      <c r="M31" s="1"/>
      <c r="N31" s="1"/>
    </row>
    <row r="32" spans="1:14" s="31" customFormat="1" ht="18" x14ac:dyDescent="0.2">
      <c r="A32" s="47"/>
      <c r="B32" s="54" t="s">
        <v>755</v>
      </c>
      <c r="C32" s="55"/>
      <c r="D32" s="59">
        <v>0.93</v>
      </c>
      <c r="E32" s="59">
        <v>0.93</v>
      </c>
      <c r="F32" s="59">
        <v>0.93</v>
      </c>
      <c r="G32" s="59">
        <v>0.93</v>
      </c>
      <c r="H32" s="59">
        <v>0.93</v>
      </c>
      <c r="L32" s="1"/>
      <c r="M32" s="1"/>
      <c r="N32" s="1"/>
    </row>
    <row r="33" spans="1:14" s="31" customFormat="1" ht="18" x14ac:dyDescent="0.2">
      <c r="A33" s="47"/>
      <c r="B33" s="54" t="s">
        <v>756</v>
      </c>
      <c r="C33" s="55"/>
      <c r="D33" s="59">
        <v>0.93</v>
      </c>
      <c r="E33" s="59">
        <v>0.93</v>
      </c>
      <c r="F33" s="59">
        <v>0.93</v>
      </c>
      <c r="G33" s="59">
        <v>0.93</v>
      </c>
      <c r="H33" s="59">
        <v>0.93</v>
      </c>
      <c r="L33" s="1"/>
      <c r="M33" s="1"/>
      <c r="N33" s="1"/>
    </row>
    <row r="34" spans="1:14" s="31" customFormat="1" ht="18" x14ac:dyDescent="0.2">
      <c r="A34" s="47"/>
      <c r="B34" s="54" t="s">
        <v>757</v>
      </c>
      <c r="C34" s="55"/>
      <c r="D34" s="59">
        <v>0.93</v>
      </c>
      <c r="E34" s="59">
        <v>0.93</v>
      </c>
      <c r="F34" s="59">
        <v>0.93</v>
      </c>
      <c r="G34" s="59">
        <v>0.93</v>
      </c>
      <c r="H34" s="59">
        <v>0.93</v>
      </c>
      <c r="L34" s="1"/>
      <c r="M34" s="1"/>
      <c r="N34" s="1"/>
    </row>
    <row r="35" spans="1:14" s="31" customFormat="1" ht="18" x14ac:dyDescent="0.2">
      <c r="A35" s="47"/>
      <c r="B35" s="54" t="s">
        <v>758</v>
      </c>
      <c r="C35" s="55"/>
      <c r="D35" s="59">
        <v>0.93</v>
      </c>
      <c r="E35" s="59">
        <v>0.93</v>
      </c>
      <c r="F35" s="59">
        <v>0.93</v>
      </c>
      <c r="G35" s="59">
        <v>0.93</v>
      </c>
      <c r="H35" s="59">
        <v>0.93</v>
      </c>
      <c r="L35" s="1"/>
      <c r="M35" s="1"/>
      <c r="N35" s="1"/>
    </row>
    <row r="36" spans="1:14" s="31" customFormat="1" ht="18" x14ac:dyDescent="0.2">
      <c r="A36" s="47"/>
      <c r="B36" s="54" t="s">
        <v>759</v>
      </c>
      <c r="C36" s="55"/>
      <c r="D36" s="59">
        <v>0.93</v>
      </c>
      <c r="E36" s="59">
        <v>0.93</v>
      </c>
      <c r="F36" s="59">
        <v>0.93</v>
      </c>
      <c r="G36" s="59">
        <v>0.93</v>
      </c>
      <c r="H36" s="59">
        <v>0.93</v>
      </c>
      <c r="L36" s="1"/>
      <c r="M36" s="1"/>
      <c r="N36" s="1"/>
    </row>
    <row r="37" spans="1:14" s="31" customFormat="1" ht="18" x14ac:dyDescent="0.2">
      <c r="A37" s="47"/>
      <c r="B37" s="54" t="s">
        <v>760</v>
      </c>
      <c r="C37" s="55"/>
      <c r="D37" s="59">
        <v>0.93</v>
      </c>
      <c r="E37" s="59">
        <v>0.93</v>
      </c>
      <c r="F37" s="59">
        <v>0.93</v>
      </c>
      <c r="G37" s="59">
        <v>0.93</v>
      </c>
      <c r="H37" s="59">
        <v>0.93</v>
      </c>
      <c r="L37" s="1"/>
      <c r="M37" s="1"/>
      <c r="N37" s="1"/>
    </row>
    <row r="38" spans="1:14" s="31" customFormat="1" ht="18" x14ac:dyDescent="0.2">
      <c r="A38" s="47"/>
      <c r="B38" s="54" t="s">
        <v>761</v>
      </c>
      <c r="C38" s="55"/>
      <c r="D38" s="59">
        <v>0.93</v>
      </c>
      <c r="E38" s="59">
        <v>0.93</v>
      </c>
      <c r="F38" s="59">
        <v>0.93</v>
      </c>
      <c r="G38" s="59">
        <v>0.93</v>
      </c>
      <c r="H38" s="59">
        <v>0.93</v>
      </c>
      <c r="L38" s="1"/>
      <c r="M38" s="1"/>
      <c r="N38" s="1"/>
    </row>
    <row r="39" spans="1:14" s="31" customFormat="1" ht="18" x14ac:dyDescent="0.2">
      <c r="A39" s="47"/>
      <c r="B39" s="54" t="s">
        <v>762</v>
      </c>
      <c r="C39" s="54"/>
      <c r="D39" s="59"/>
      <c r="E39" s="59"/>
      <c r="F39" s="59"/>
      <c r="G39" s="59"/>
      <c r="H39" s="59"/>
      <c r="L39" s="1"/>
      <c r="M39" s="1"/>
      <c r="N39" s="1"/>
    </row>
    <row r="40" spans="1:14" s="31" customFormat="1" ht="18" x14ac:dyDescent="0.2">
      <c r="A40" s="47"/>
      <c r="B40" s="55" t="s">
        <v>769</v>
      </c>
      <c r="C40" s="54"/>
      <c r="D40" s="61">
        <f>IF(AVERAGE(D26:D39)&gt;0,AVERAGE(D26:D39),"")</f>
        <v>0.94</v>
      </c>
      <c r="E40" s="61">
        <f>IF(AVERAGE(E26:E39)&gt;0,AVERAGE(E26:E39),"")</f>
        <v>0.94</v>
      </c>
      <c r="F40" s="61">
        <f>IF(AVERAGE(F26:F39)&gt;0,AVERAGE(F26:F39),"")</f>
        <v>0.94</v>
      </c>
      <c r="G40" s="61">
        <f>IF(AVERAGE(G26:G39)&gt;0,AVERAGE(G26:G39),"")</f>
        <v>0.94</v>
      </c>
      <c r="H40" s="61">
        <f>IF(AVERAGE(H26:H39)&gt;0,AVERAGE(H26:H39),"")</f>
        <v>0.94</v>
      </c>
      <c r="L40" s="1"/>
      <c r="M40" s="1"/>
      <c r="N40" s="1"/>
    </row>
    <row r="41" spans="1:14" s="31" customFormat="1" ht="18" x14ac:dyDescent="0.2">
      <c r="A41" s="47"/>
      <c r="B41" s="49"/>
      <c r="C41" s="50"/>
      <c r="D41" s="57"/>
      <c r="E41" s="57"/>
      <c r="F41" s="57"/>
      <c r="G41" s="57"/>
      <c r="H41" s="57"/>
      <c r="L41" s="1"/>
      <c r="M41" s="1"/>
      <c r="N41" s="1"/>
    </row>
    <row r="42" spans="1:14" s="31" customFormat="1" x14ac:dyDescent="0.2">
      <c r="A42" s="49" t="s">
        <v>770</v>
      </c>
      <c r="B42" s="50"/>
      <c r="C42" s="49"/>
      <c r="D42" s="51"/>
      <c r="E42" s="52"/>
      <c r="F42" s="52"/>
      <c r="G42" s="52"/>
      <c r="H42" s="53"/>
      <c r="L42" s="1"/>
      <c r="M42" s="1"/>
      <c r="N42" s="1"/>
    </row>
    <row r="43" spans="1:14" s="31" customFormat="1" x14ac:dyDescent="0.2">
      <c r="A43" s="50"/>
      <c r="B43" s="54" t="s">
        <v>749</v>
      </c>
      <c r="C43" s="55"/>
      <c r="D43" s="290" t="str">
        <f t="shared" ref="D43:H56" si="0">IF(D9&gt;0,D9*D26,"")</f>
        <v/>
      </c>
      <c r="E43" s="58" t="str">
        <f t="shared" si="0"/>
        <v/>
      </c>
      <c r="F43" s="58" t="str">
        <f t="shared" si="0"/>
        <v/>
      </c>
      <c r="G43" s="58" t="str">
        <f t="shared" si="0"/>
        <v/>
      </c>
      <c r="H43" s="58" t="str">
        <f t="shared" si="0"/>
        <v/>
      </c>
      <c r="L43" s="1"/>
      <c r="M43" s="1"/>
      <c r="N43" s="1"/>
    </row>
    <row r="44" spans="1:14" s="31" customFormat="1" ht="18" x14ac:dyDescent="0.2">
      <c r="A44" s="47"/>
      <c r="B44" s="54" t="s">
        <v>750</v>
      </c>
      <c r="C44" s="55"/>
      <c r="D44" s="290">
        <f t="shared" si="0"/>
        <v>9.5</v>
      </c>
      <c r="E44" s="58">
        <f t="shared" si="0"/>
        <v>9.5</v>
      </c>
      <c r="F44" s="58">
        <f t="shared" si="0"/>
        <v>9.5</v>
      </c>
      <c r="G44" s="58">
        <f t="shared" si="0"/>
        <v>9.5</v>
      </c>
      <c r="H44" s="58">
        <f t="shared" si="0"/>
        <v>9.5</v>
      </c>
      <c r="L44" s="1"/>
      <c r="M44" s="1"/>
      <c r="N44" s="1"/>
    </row>
    <row r="45" spans="1:14" s="31" customFormat="1" ht="18" x14ac:dyDescent="0.2">
      <c r="A45" s="47"/>
      <c r="B45" s="54" t="s">
        <v>751</v>
      </c>
      <c r="C45" s="55"/>
      <c r="D45" s="290">
        <f t="shared" si="0"/>
        <v>10.45</v>
      </c>
      <c r="E45" s="58">
        <f t="shared" si="0"/>
        <v>10.45</v>
      </c>
      <c r="F45" s="58">
        <f t="shared" si="0"/>
        <v>10.45</v>
      </c>
      <c r="G45" s="58">
        <f t="shared" si="0"/>
        <v>10.45</v>
      </c>
      <c r="H45" s="58">
        <f t="shared" si="0"/>
        <v>10.45</v>
      </c>
      <c r="L45" s="1"/>
      <c r="M45" s="1"/>
      <c r="N45" s="1"/>
    </row>
    <row r="46" spans="1:14" s="31" customFormat="1" ht="18" x14ac:dyDescent="0.2">
      <c r="A46" s="47"/>
      <c r="B46" s="54" t="s">
        <v>752</v>
      </c>
      <c r="C46" s="55"/>
      <c r="D46" s="290">
        <f t="shared" si="0"/>
        <v>11.399999999999999</v>
      </c>
      <c r="E46" s="58">
        <f t="shared" si="0"/>
        <v>11.399999999999999</v>
      </c>
      <c r="F46" s="58">
        <f t="shared" si="0"/>
        <v>11.399999999999999</v>
      </c>
      <c r="G46" s="58">
        <f t="shared" si="0"/>
        <v>11.399999999999999</v>
      </c>
      <c r="H46" s="58">
        <f t="shared" si="0"/>
        <v>11.399999999999999</v>
      </c>
      <c r="L46" s="1"/>
      <c r="M46" s="1"/>
      <c r="N46" s="1"/>
    </row>
    <row r="47" spans="1:14" s="31" customFormat="1" ht="18" x14ac:dyDescent="0.2">
      <c r="A47" s="47"/>
      <c r="B47" s="54" t="s">
        <v>753</v>
      </c>
      <c r="C47" s="55"/>
      <c r="D47" s="290">
        <f t="shared" si="0"/>
        <v>12.35</v>
      </c>
      <c r="E47" s="58">
        <f t="shared" si="0"/>
        <v>12.35</v>
      </c>
      <c r="F47" s="58">
        <f t="shared" si="0"/>
        <v>12.35</v>
      </c>
      <c r="G47" s="58">
        <f t="shared" si="0"/>
        <v>12.35</v>
      </c>
      <c r="H47" s="58">
        <f t="shared" si="0"/>
        <v>12.35</v>
      </c>
      <c r="L47" s="1"/>
      <c r="M47" s="1"/>
      <c r="N47" s="1"/>
    </row>
    <row r="48" spans="1:14" s="31" customFormat="1" ht="18" x14ac:dyDescent="0.2">
      <c r="A48" s="47"/>
      <c r="B48" s="54" t="s">
        <v>754</v>
      </c>
      <c r="C48" s="55"/>
      <c r="D48" s="290">
        <f t="shared" si="0"/>
        <v>11.399999999999999</v>
      </c>
      <c r="E48" s="58">
        <f t="shared" si="0"/>
        <v>11.399999999999999</v>
      </c>
      <c r="F48" s="58">
        <f t="shared" si="0"/>
        <v>11.399999999999999</v>
      </c>
      <c r="G48" s="58">
        <f t="shared" si="0"/>
        <v>11.399999999999999</v>
      </c>
      <c r="H48" s="58">
        <f t="shared" si="0"/>
        <v>11.399999999999999</v>
      </c>
      <c r="L48" s="1"/>
      <c r="M48" s="1"/>
      <c r="N48" s="1"/>
    </row>
    <row r="49" spans="1:14" s="31" customFormat="1" ht="18" x14ac:dyDescent="0.2">
      <c r="A49" s="47"/>
      <c r="B49" s="54" t="s">
        <v>755</v>
      </c>
      <c r="C49" s="55"/>
      <c r="D49" s="290">
        <f t="shared" si="0"/>
        <v>12.09</v>
      </c>
      <c r="E49" s="58">
        <f t="shared" si="0"/>
        <v>12.09</v>
      </c>
      <c r="F49" s="58">
        <f t="shared" si="0"/>
        <v>12.09</v>
      </c>
      <c r="G49" s="58">
        <f t="shared" si="0"/>
        <v>12.09</v>
      </c>
      <c r="H49" s="58">
        <f t="shared" si="0"/>
        <v>12.09</v>
      </c>
      <c r="L49" s="1"/>
      <c r="M49" s="1"/>
      <c r="N49" s="1"/>
    </row>
    <row r="50" spans="1:14" s="31" customFormat="1" ht="18" x14ac:dyDescent="0.2">
      <c r="A50" s="47"/>
      <c r="B50" s="54" t="s">
        <v>756</v>
      </c>
      <c r="C50" s="55"/>
      <c r="D50" s="58">
        <f t="shared" si="0"/>
        <v>13.020000000000001</v>
      </c>
      <c r="E50" s="58">
        <f t="shared" si="0"/>
        <v>13.020000000000001</v>
      </c>
      <c r="F50" s="58">
        <f t="shared" si="0"/>
        <v>13.020000000000001</v>
      </c>
      <c r="G50" s="58">
        <f t="shared" si="0"/>
        <v>13.020000000000001</v>
      </c>
      <c r="H50" s="58">
        <f t="shared" si="0"/>
        <v>13.020000000000001</v>
      </c>
      <c r="L50" s="1"/>
      <c r="M50" s="1"/>
      <c r="N50" s="1"/>
    </row>
    <row r="51" spans="1:14" s="31" customFormat="1" ht="18" x14ac:dyDescent="0.2">
      <c r="A51" s="47"/>
      <c r="B51" s="54" t="s">
        <v>757</v>
      </c>
      <c r="C51" s="55"/>
      <c r="D51" s="58">
        <f t="shared" si="0"/>
        <v>12.09</v>
      </c>
      <c r="E51" s="58">
        <f t="shared" si="0"/>
        <v>12.09</v>
      </c>
      <c r="F51" s="58">
        <f t="shared" si="0"/>
        <v>12.09</v>
      </c>
      <c r="G51" s="58">
        <f t="shared" si="0"/>
        <v>12.09</v>
      </c>
      <c r="H51" s="58">
        <f t="shared" si="0"/>
        <v>12.09</v>
      </c>
      <c r="L51" s="1"/>
      <c r="M51" s="1"/>
      <c r="N51" s="1"/>
    </row>
    <row r="52" spans="1:14" s="31" customFormat="1" ht="18" x14ac:dyDescent="0.2">
      <c r="A52" s="47"/>
      <c r="B52" s="54" t="s">
        <v>758</v>
      </c>
      <c r="C52" s="55"/>
      <c r="D52" s="58">
        <f t="shared" si="0"/>
        <v>5.58</v>
      </c>
      <c r="E52" s="58">
        <f t="shared" si="0"/>
        <v>5.58</v>
      </c>
      <c r="F52" s="58">
        <f t="shared" si="0"/>
        <v>5.58</v>
      </c>
      <c r="G52" s="58">
        <f t="shared" si="0"/>
        <v>5.58</v>
      </c>
      <c r="H52" s="58">
        <f t="shared" si="0"/>
        <v>5.58</v>
      </c>
      <c r="L52" s="1"/>
      <c r="M52" s="1"/>
      <c r="N52" s="1"/>
    </row>
    <row r="53" spans="1:14" s="31" customFormat="1" ht="18" x14ac:dyDescent="0.2">
      <c r="A53" s="47"/>
      <c r="B53" s="54" t="s">
        <v>759</v>
      </c>
      <c r="C53" s="55"/>
      <c r="D53" s="58">
        <f t="shared" si="0"/>
        <v>4.6500000000000004</v>
      </c>
      <c r="E53" s="58">
        <f t="shared" si="0"/>
        <v>4.6500000000000004</v>
      </c>
      <c r="F53" s="58">
        <f t="shared" si="0"/>
        <v>4.6500000000000004</v>
      </c>
      <c r="G53" s="58">
        <f t="shared" si="0"/>
        <v>4.6500000000000004</v>
      </c>
      <c r="H53" s="58">
        <f t="shared" si="0"/>
        <v>4.6500000000000004</v>
      </c>
      <c r="L53" s="1"/>
      <c r="M53" s="1"/>
      <c r="N53" s="1"/>
    </row>
    <row r="54" spans="1:14" s="31" customFormat="1" ht="18" x14ac:dyDescent="0.2">
      <c r="A54" s="47"/>
      <c r="B54" s="54" t="s">
        <v>760</v>
      </c>
      <c r="C54" s="55"/>
      <c r="D54" s="58">
        <f t="shared" si="0"/>
        <v>4.6500000000000004</v>
      </c>
      <c r="E54" s="58">
        <f t="shared" si="0"/>
        <v>4.6500000000000004</v>
      </c>
      <c r="F54" s="58">
        <f t="shared" si="0"/>
        <v>4.6500000000000004</v>
      </c>
      <c r="G54" s="58">
        <f t="shared" si="0"/>
        <v>4.6500000000000004</v>
      </c>
      <c r="H54" s="58">
        <f t="shared" si="0"/>
        <v>4.6500000000000004</v>
      </c>
      <c r="L54" s="1"/>
      <c r="M54" s="1"/>
      <c r="N54" s="1"/>
    </row>
    <row r="55" spans="1:14" s="31" customFormat="1" ht="18" x14ac:dyDescent="0.2">
      <c r="A55" s="47"/>
      <c r="B55" s="54" t="s">
        <v>761</v>
      </c>
      <c r="C55" s="55"/>
      <c r="D55" s="58">
        <f t="shared" si="0"/>
        <v>4.6500000000000004</v>
      </c>
      <c r="E55" s="58">
        <f t="shared" si="0"/>
        <v>4.6500000000000004</v>
      </c>
      <c r="F55" s="58">
        <f t="shared" si="0"/>
        <v>4.6500000000000004</v>
      </c>
      <c r="G55" s="58">
        <f t="shared" si="0"/>
        <v>4.6500000000000004</v>
      </c>
      <c r="H55" s="58">
        <f t="shared" si="0"/>
        <v>4.6500000000000004</v>
      </c>
      <c r="L55" s="1"/>
      <c r="M55" s="1"/>
      <c r="N55" s="1"/>
    </row>
    <row r="56" spans="1:14" s="31" customFormat="1" ht="18" x14ac:dyDescent="0.2">
      <c r="A56" s="47"/>
      <c r="B56" s="54" t="s">
        <v>762</v>
      </c>
      <c r="C56" s="54"/>
      <c r="D56" s="58" t="str">
        <f t="shared" si="0"/>
        <v/>
      </c>
      <c r="E56" s="58" t="str">
        <f t="shared" si="0"/>
        <v/>
      </c>
      <c r="F56" s="58" t="str">
        <f t="shared" si="0"/>
        <v/>
      </c>
      <c r="G56" s="58" t="str">
        <f t="shared" si="0"/>
        <v/>
      </c>
      <c r="H56" s="58" t="str">
        <f t="shared" si="0"/>
        <v/>
      </c>
      <c r="L56" s="1"/>
      <c r="M56" s="1"/>
      <c r="N56" s="1"/>
    </row>
    <row r="57" spans="1:14" s="31" customFormat="1" ht="18" x14ac:dyDescent="0.2">
      <c r="A57" s="47"/>
      <c r="B57" s="55" t="s">
        <v>771</v>
      </c>
      <c r="C57" s="54"/>
      <c r="D57" s="288">
        <f>IF(SUM(D43:D56)&gt;0,SUM(D43:D56),"")</f>
        <v>111.83000000000001</v>
      </c>
      <c r="E57" s="288">
        <f>IF(SUM(E43:E56)&gt;0,SUM(E43:E56),"")</f>
        <v>111.83000000000001</v>
      </c>
      <c r="F57" s="288">
        <f>IF(SUM(F43:F56)&gt;0,SUM(F43:F56),"")</f>
        <v>111.83000000000001</v>
      </c>
      <c r="G57" s="288">
        <f>IF(SUM(G43:G56)&gt;0,SUM(G43:G56),"")</f>
        <v>111.83000000000001</v>
      </c>
      <c r="H57" s="288">
        <f>IF(SUM(H43:H56)&gt;0,SUM(H43:H56),"")</f>
        <v>111.83000000000001</v>
      </c>
      <c r="L57" s="1"/>
      <c r="M57" s="1"/>
      <c r="N57" s="1"/>
    </row>
    <row r="58" spans="1:14" s="31" customFormat="1" ht="18" x14ac:dyDescent="0.2">
      <c r="A58" s="47"/>
      <c r="B58" s="47"/>
      <c r="C58" s="47"/>
      <c r="D58" s="48"/>
      <c r="E58" s="48"/>
      <c r="F58" s="48"/>
      <c r="G58" s="48"/>
      <c r="H58" s="48"/>
      <c r="L58" s="1"/>
      <c r="M58" s="1"/>
      <c r="N58" s="1"/>
    </row>
    <row r="59" spans="1:14" s="31" customFormat="1" x14ac:dyDescent="0.2">
      <c r="A59" s="49" t="s">
        <v>772</v>
      </c>
      <c r="B59" s="50"/>
      <c r="C59" s="49"/>
      <c r="D59" s="51"/>
      <c r="E59" s="52"/>
      <c r="F59" s="52"/>
      <c r="G59" s="52"/>
      <c r="H59" s="53"/>
      <c r="L59" s="1"/>
      <c r="M59" s="1"/>
      <c r="N59" s="1"/>
    </row>
    <row r="60" spans="1:14" s="31" customFormat="1" ht="18" x14ac:dyDescent="0.2">
      <c r="A60" s="47"/>
      <c r="B60" s="54" t="s">
        <v>765</v>
      </c>
      <c r="C60" s="55"/>
      <c r="D60" s="290">
        <v>27.91</v>
      </c>
      <c r="E60" s="290">
        <f>IF(SUM(E43:E46)&gt;0,SUM(E43:E46),"")</f>
        <v>31.349999999999998</v>
      </c>
      <c r="F60" s="290">
        <f>IF(SUM(F43:F46)&gt;0,SUM(F43:F46),"")</f>
        <v>31.349999999999998</v>
      </c>
      <c r="G60" s="290">
        <f>IF(SUM(G43:G46)&gt;0,SUM(G43:G46),"")</f>
        <v>31.349999999999998</v>
      </c>
      <c r="H60" s="290">
        <f>IF(SUM(H43:H46)&gt;0,SUM(H43:H46),"")</f>
        <v>31.349999999999998</v>
      </c>
      <c r="L60" s="1"/>
      <c r="M60" s="1"/>
      <c r="N60" s="1"/>
    </row>
    <row r="61" spans="1:14" s="31" customFormat="1" ht="18" x14ac:dyDescent="0.2">
      <c r="A61" s="47"/>
      <c r="B61" s="54" t="s">
        <v>766</v>
      </c>
      <c r="C61" s="55"/>
      <c r="D61" s="290">
        <v>37.840000000000003</v>
      </c>
      <c r="E61" s="290">
        <f>IF(SUM(E47:E49)&gt;0,SUM(E47:E49),"")</f>
        <v>35.840000000000003</v>
      </c>
      <c r="F61" s="290">
        <f>IF(SUM(F47:F49)&gt;0,SUM(F47:F49),"")</f>
        <v>35.840000000000003</v>
      </c>
      <c r="G61" s="290">
        <f>IF(SUM(G47:G49)&gt;0,SUM(G47:G49),"")</f>
        <v>35.840000000000003</v>
      </c>
      <c r="H61" s="290">
        <f>IF(SUM(H47:H49)&gt;0,SUM(H47:H49),"")</f>
        <v>35.840000000000003</v>
      </c>
      <c r="L61" s="1"/>
      <c r="M61" s="1"/>
      <c r="N61" s="1"/>
    </row>
    <row r="62" spans="1:14" s="31" customFormat="1" ht="18" x14ac:dyDescent="0.2">
      <c r="A62" s="47"/>
      <c r="B62" s="54" t="s">
        <v>767</v>
      </c>
      <c r="C62" s="55"/>
      <c r="D62" s="290">
        <v>25</v>
      </c>
      <c r="E62" s="290">
        <f>IF(SUM(E50:E51)&gt;0,SUM(E50:E51),"")</f>
        <v>25.11</v>
      </c>
      <c r="F62" s="290">
        <f>IF(SUM(F50:F51)&gt;0,SUM(F50:F51),"")</f>
        <v>25.11</v>
      </c>
      <c r="G62" s="290">
        <f>IF(SUM(G50:G51)&gt;0,SUM(G50:G51),"")</f>
        <v>25.11</v>
      </c>
      <c r="H62" s="290">
        <f>IF(SUM(H50:H51)&gt;0,SUM(H50:H51),"")</f>
        <v>25.11</v>
      </c>
      <c r="L62" s="1"/>
      <c r="M62" s="1"/>
      <c r="N62" s="1"/>
    </row>
    <row r="63" spans="1:14" s="31" customFormat="1" ht="18" x14ac:dyDescent="0.2">
      <c r="A63" s="47"/>
      <c r="B63" s="54" t="s">
        <v>768</v>
      </c>
      <c r="C63" s="55"/>
      <c r="D63" s="290">
        <v>18.47</v>
      </c>
      <c r="E63" s="290">
        <f>IF(SUM(E52:E56)&gt;0,SUM(E52:E56),"")</f>
        <v>19.53</v>
      </c>
      <c r="F63" s="290">
        <f>IF(SUM(F52:F56)&gt;0,SUM(F52:F56),"")</f>
        <v>19.53</v>
      </c>
      <c r="G63" s="290">
        <f>IF(SUM(G52:G56)&gt;0,SUM(G52:G56),"")</f>
        <v>19.53</v>
      </c>
      <c r="H63" s="290">
        <f>IF(SUM(H52:H56)&gt;0,SUM(H52:H56),"")</f>
        <v>19.53</v>
      </c>
      <c r="L63" s="1"/>
      <c r="M63" s="1"/>
      <c r="N63" s="1"/>
    </row>
    <row r="64" spans="1:14" s="31" customFormat="1" ht="18" x14ac:dyDescent="0.2">
      <c r="A64" s="47"/>
      <c r="B64" s="55" t="s">
        <v>771</v>
      </c>
      <c r="C64" s="55"/>
      <c r="D64" s="289">
        <f>IF(SUM(D60:D63)&gt;0,SUM(D60:D63),"")</f>
        <v>109.22</v>
      </c>
      <c r="E64" s="289">
        <f>IF(SUM(E60:E63)&gt;0,SUM(E60:E63),"")</f>
        <v>111.83</v>
      </c>
      <c r="F64" s="289">
        <f>IF(SUM(F60:F63)&gt;0,SUM(F60:F63),"")</f>
        <v>111.83</v>
      </c>
      <c r="G64" s="289">
        <f>IF(SUM(G60:G63)&gt;0,SUM(G60:G63),"")</f>
        <v>111.83</v>
      </c>
      <c r="H64" s="289">
        <f>IF(SUM(H60:H63)&gt;0,SUM(H60:H63),"")</f>
        <v>111.83</v>
      </c>
      <c r="L64" s="1"/>
      <c r="M64" s="1"/>
      <c r="N64" s="1"/>
    </row>
    <row r="65" spans="1:14" s="31" customFormat="1" ht="18" x14ac:dyDescent="0.2">
      <c r="A65" s="47"/>
      <c r="B65" s="47"/>
      <c r="C65" s="47"/>
      <c r="D65" s="48"/>
      <c r="E65" s="48"/>
      <c r="F65" s="48"/>
      <c r="G65" s="48"/>
      <c r="H65" s="48"/>
      <c r="L65" s="1"/>
      <c r="M65" s="1"/>
      <c r="N65" s="1"/>
    </row>
    <row r="66" spans="1:14" s="31" customFormat="1" x14ac:dyDescent="0.2">
      <c r="A66" s="49" t="s">
        <v>776</v>
      </c>
      <c r="B66" s="50"/>
      <c r="C66" s="49"/>
      <c r="D66" s="51"/>
      <c r="E66" s="52"/>
      <c r="F66" s="52"/>
      <c r="G66" s="52"/>
      <c r="H66" s="53"/>
      <c r="L66" s="1"/>
      <c r="M66" s="1"/>
      <c r="N66" s="1"/>
    </row>
    <row r="67" spans="1:14" s="31" customFormat="1" ht="18" x14ac:dyDescent="0.2">
      <c r="A67" s="47"/>
      <c r="B67" s="54" t="s">
        <v>1250</v>
      </c>
      <c r="C67" s="55"/>
      <c r="D67" s="353">
        <v>0.69969999999999999</v>
      </c>
      <c r="E67" s="353">
        <f>$D67</f>
        <v>0.69969999999999999</v>
      </c>
      <c r="F67" s="353">
        <f t="shared" ref="F67:H67" si="1">$D67</f>
        <v>0.69969999999999999</v>
      </c>
      <c r="G67" s="353">
        <f t="shared" si="1"/>
        <v>0.69969999999999999</v>
      </c>
      <c r="H67" s="353">
        <f t="shared" si="1"/>
        <v>0.69969999999999999</v>
      </c>
      <c r="L67" s="1"/>
      <c r="M67" s="1"/>
      <c r="N67" s="1"/>
    </row>
    <row r="68" spans="1:14" s="31" customFormat="1" ht="18" x14ac:dyDescent="0.2">
      <c r="A68" s="47"/>
      <c r="B68" s="54" t="s">
        <v>777</v>
      </c>
      <c r="C68" s="55"/>
      <c r="D68" s="290">
        <f>IF(SUM(D67:D67)&gt;0,ROUNDUP(SUM(D67:D67),4)*D$23,"")</f>
        <v>83.264299999999992</v>
      </c>
      <c r="E68" s="290">
        <f>IF(SUM(E67:E67)&gt;0,ROUNDUP(SUM(E67:E67),4)*E$23,"")</f>
        <v>83.264299999999992</v>
      </c>
      <c r="F68" s="290">
        <f>IF(SUM(F67:F67)&gt;0,ROUNDUP(SUM(F67:F67),4)*F$23,"")</f>
        <v>83.264299999999992</v>
      </c>
      <c r="G68" s="290">
        <f>IF(SUM(G67:G67)&gt;0,ROUNDUP(SUM(G67:G67),4)*G$23,"")</f>
        <v>83.264299999999992</v>
      </c>
      <c r="H68" s="290">
        <f>IF(SUM(H67:H67)&gt;0,ROUNDUP(SUM(H67:H67),4)*H$23,"")</f>
        <v>83.264299999999992</v>
      </c>
      <c r="L68" s="1"/>
      <c r="M68" s="1"/>
      <c r="N68" s="1"/>
    </row>
    <row r="69" spans="1:14" s="31" customFormat="1" ht="18" x14ac:dyDescent="0.2">
      <c r="A69" s="47"/>
      <c r="B69" s="47"/>
      <c r="C69" s="47"/>
      <c r="D69" s="48"/>
      <c r="E69" s="48"/>
      <c r="F69" s="48"/>
      <c r="G69" s="48"/>
      <c r="H69" s="48"/>
      <c r="L69" s="1"/>
      <c r="M69" s="1"/>
      <c r="N69" s="1"/>
    </row>
    <row r="70" spans="1:14" s="31" customFormat="1" x14ac:dyDescent="0.2">
      <c r="A70" s="49" t="s">
        <v>774</v>
      </c>
      <c r="B70" s="50"/>
      <c r="C70" s="49"/>
      <c r="D70" s="51"/>
      <c r="E70" s="52"/>
      <c r="F70" s="52"/>
      <c r="G70" s="52"/>
      <c r="H70" s="53"/>
      <c r="L70" s="1"/>
      <c r="M70" s="1"/>
      <c r="N70" s="1"/>
    </row>
    <row r="71" spans="1:14" s="31" customFormat="1" ht="18" x14ac:dyDescent="0.2">
      <c r="A71" s="47"/>
      <c r="B71" s="62" t="s">
        <v>775</v>
      </c>
      <c r="C71" s="63"/>
      <c r="D71" s="59">
        <v>0.06</v>
      </c>
      <c r="E71" s="59">
        <f>$D71</f>
        <v>0.06</v>
      </c>
      <c r="F71" s="59">
        <f>$D71</f>
        <v>0.06</v>
      </c>
      <c r="G71" s="59">
        <f>$D71</f>
        <v>0.06</v>
      </c>
      <c r="H71" s="59">
        <f>$D71</f>
        <v>0.06</v>
      </c>
      <c r="L71" s="1"/>
      <c r="M71" s="1"/>
      <c r="N71" s="1"/>
    </row>
    <row r="72" spans="1:14" s="31" customFormat="1" ht="18" x14ac:dyDescent="0.2">
      <c r="A72" s="47"/>
      <c r="B72" s="62" t="s">
        <v>773</v>
      </c>
      <c r="C72" s="63"/>
      <c r="D72" s="290">
        <v>10</v>
      </c>
      <c r="E72" s="290">
        <v>10</v>
      </c>
      <c r="F72" s="290">
        <v>10</v>
      </c>
      <c r="G72" s="290">
        <v>10</v>
      </c>
      <c r="H72" s="290">
        <v>10</v>
      </c>
      <c r="L72" s="1"/>
      <c r="M72" s="1"/>
      <c r="N72" s="1"/>
    </row>
    <row r="73" spans="1:14" s="31" customFormat="1" ht="18" x14ac:dyDescent="0.2">
      <c r="A73" s="47"/>
      <c r="B73" s="47"/>
      <c r="C73" s="47"/>
      <c r="D73" s="48"/>
      <c r="E73" s="48"/>
      <c r="F73" s="48"/>
      <c r="G73" s="48"/>
      <c r="H73" s="48"/>
      <c r="L73" s="1"/>
      <c r="M73" s="1"/>
      <c r="N73" s="1"/>
    </row>
    <row r="74" spans="1:14" x14ac:dyDescent="0.2">
      <c r="A74" s="36"/>
    </row>
    <row r="75" spans="1:14" x14ac:dyDescent="0.2">
      <c r="A75" s="36"/>
    </row>
    <row r="76" spans="1:14" x14ac:dyDescent="0.2">
      <c r="A76" s="36"/>
    </row>
    <row r="77" spans="1:14" x14ac:dyDescent="0.2">
      <c r="A77" s="36"/>
    </row>
    <row r="78" spans="1:14" x14ac:dyDescent="0.2">
      <c r="A78" s="36"/>
    </row>
    <row r="79" spans="1:14" x14ac:dyDescent="0.2">
      <c r="A79" s="36"/>
    </row>
    <row r="80" spans="1:14"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row r="122" spans="1:1" x14ac:dyDescent="0.2">
      <c r="A122" s="36"/>
    </row>
    <row r="123" spans="1:1" x14ac:dyDescent="0.2">
      <c r="A123" s="36"/>
    </row>
    <row r="124" spans="1:1" x14ac:dyDescent="0.2">
      <c r="A124" s="36"/>
    </row>
    <row r="125" spans="1:1" x14ac:dyDescent="0.2">
      <c r="A125" s="36"/>
    </row>
    <row r="126" spans="1:1" x14ac:dyDescent="0.2">
      <c r="A126" s="36"/>
    </row>
    <row r="127" spans="1:1" x14ac:dyDescent="0.2">
      <c r="A127" s="36"/>
    </row>
    <row r="128" spans="1:1" x14ac:dyDescent="0.2">
      <c r="A128" s="36"/>
    </row>
    <row r="129" spans="1:1" x14ac:dyDescent="0.2">
      <c r="A129" s="36"/>
    </row>
    <row r="130" spans="1:1" x14ac:dyDescent="0.2">
      <c r="A130" s="36"/>
    </row>
    <row r="131" spans="1:1" x14ac:dyDescent="0.2">
      <c r="A131" s="36"/>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6"/>
    </row>
    <row r="146" spans="1:1" x14ac:dyDescent="0.2">
      <c r="A146" s="36"/>
    </row>
    <row r="147" spans="1:1" x14ac:dyDescent="0.2">
      <c r="A147" s="36"/>
    </row>
    <row r="148" spans="1:1" x14ac:dyDescent="0.2">
      <c r="A148" s="36"/>
    </row>
    <row r="149" spans="1:1" x14ac:dyDescent="0.2">
      <c r="A149" s="36"/>
    </row>
    <row r="150" spans="1:1" x14ac:dyDescent="0.2">
      <c r="A150" s="36"/>
    </row>
    <row r="151" spans="1:1" x14ac:dyDescent="0.2">
      <c r="A151" s="36"/>
    </row>
    <row r="152" spans="1:1" x14ac:dyDescent="0.2">
      <c r="A152" s="36"/>
    </row>
    <row r="153" spans="1:1" x14ac:dyDescent="0.2">
      <c r="A153" s="36"/>
    </row>
    <row r="154" spans="1:1" x14ac:dyDescent="0.2">
      <c r="A154" s="36"/>
    </row>
    <row r="155" spans="1:1" x14ac:dyDescent="0.2">
      <c r="A155" s="36"/>
    </row>
  </sheetData>
  <pageMargins left="0.25" right="0.25" top="0.5" bottom="0.5" header="0.3" footer="0.3"/>
  <pageSetup scale="84" fitToHeight="2" orientation="landscape" r:id="rId1"/>
  <headerFooter alignWithMargins="0">
    <oddHeader>&amp;A</oddHeader>
    <oddFooter>Page &amp;P</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pageSetUpPr fitToPage="1"/>
  </sheetPr>
  <dimension ref="A1:X101"/>
  <sheetViews>
    <sheetView workbookViewId="0">
      <pane xSplit="3" ySplit="6" topLeftCell="D7" activePane="bottomRight" state="frozen"/>
      <selection activeCell="D1" sqref="D1:E1048576"/>
      <selection pane="topRight" activeCell="D1" sqref="D1:E1048576"/>
      <selection pane="bottomLeft" activeCell="D1" sqref="D1:E1048576"/>
      <selection pane="bottomRight" activeCell="F20" sqref="F20"/>
    </sheetView>
  </sheetViews>
  <sheetFormatPr baseColWidth="10" defaultColWidth="8.83203125" defaultRowHeight="16" outlineLevelRow="2" x14ac:dyDescent="0.2"/>
  <cols>
    <col min="1" max="1" width="2.1640625" style="6" customWidth="1"/>
    <col min="2" max="2" width="6.6640625" style="7" bestFit="1" customWidth="1"/>
    <col min="3" max="3" width="8.83203125" style="338"/>
    <col min="4" max="5" width="8.83203125" style="283"/>
    <col min="6" max="6" width="8.83203125" style="7"/>
    <col min="7" max="8" width="14.5" style="7" bestFit="1" customWidth="1"/>
    <col min="9" max="9" width="11.5" style="7" bestFit="1" customWidth="1"/>
    <col min="10" max="10" width="11.5" style="7" customWidth="1"/>
    <col min="11" max="11" width="14.6640625" style="6" bestFit="1" customWidth="1"/>
    <col min="12" max="12" width="17.5" style="7" bestFit="1" customWidth="1"/>
    <col min="13" max="13" width="17" style="6" bestFit="1" customWidth="1"/>
    <col min="14" max="16" width="12.1640625" style="6" customWidth="1"/>
    <col min="17" max="17" width="12.1640625" style="7" customWidth="1"/>
    <col min="18" max="19" width="15.5" style="6" customWidth="1"/>
    <col min="20" max="20" width="19.5" style="6" customWidth="1"/>
    <col min="21" max="21" width="18.5" style="6" customWidth="1"/>
    <col min="22" max="22" width="19.6640625" style="6" customWidth="1"/>
    <col min="23" max="24" width="15.5" style="6" customWidth="1"/>
    <col min="25" max="16384" width="8.83203125" style="6"/>
  </cols>
  <sheetData>
    <row r="1" spans="1:24" ht="20" x14ac:dyDescent="0.2">
      <c r="A1" s="22" t="str">
        <f>'Student Info'!$A$1</f>
        <v>Three Rivers Charter School</v>
      </c>
    </row>
    <row r="2" spans="1:24" ht="18" x14ac:dyDescent="0.2">
      <c r="A2" s="21" t="s">
        <v>726</v>
      </c>
      <c r="G2" s="189">
        <v>3.5000000000000003E-2</v>
      </c>
      <c r="H2" s="190" t="s">
        <v>925</v>
      </c>
      <c r="M2" s="8">
        <f>'Employee Input 18-19'!M2</f>
        <v>0.14430000000000001</v>
      </c>
      <c r="N2" s="8">
        <f>'Employee Input 18-19'!N2</f>
        <v>0.11847000000000001</v>
      </c>
      <c r="O2" s="8">
        <f>'Employee Input 18-19'!O2</f>
        <v>6.25E-2</v>
      </c>
      <c r="P2" s="8">
        <f>'Employee Input 18-19'!P2</f>
        <v>1.4500000000000001E-2</v>
      </c>
      <c r="Q2" s="349">
        <f>+'Employee Input 15-16'!Q2</f>
        <v>500</v>
      </c>
      <c r="S2" s="8">
        <f>'Employee Input 18-19'!S2</f>
        <v>0.02</v>
      </c>
      <c r="T2" s="8">
        <f>'Employee Input 18-19'!T2</f>
        <v>1.2E-2</v>
      </c>
      <c r="V2" s="12">
        <f>(0.08*$K2/1000)+(0.025*$K2/1000)+(0.14%*$K2)+(0.05*$K2/10)</f>
        <v>0</v>
      </c>
    </row>
    <row r="3" spans="1:24" ht="18" x14ac:dyDescent="0.2">
      <c r="A3" s="21" t="str">
        <f>'Student Info'!H7</f>
        <v>2019-20</v>
      </c>
      <c r="M3" s="9" t="s">
        <v>562</v>
      </c>
      <c r="N3" s="9" t="s">
        <v>563</v>
      </c>
      <c r="O3" s="9" t="s">
        <v>931</v>
      </c>
      <c r="P3" s="9" t="s">
        <v>672</v>
      </c>
      <c r="Q3" s="9" t="s">
        <v>566</v>
      </c>
      <c r="R3" s="9"/>
      <c r="S3" s="9" t="s">
        <v>670</v>
      </c>
      <c r="T3" s="9" t="s">
        <v>671</v>
      </c>
      <c r="U3" s="9"/>
      <c r="V3" s="9" t="s">
        <v>938</v>
      </c>
    </row>
    <row r="4" spans="1:24" ht="27" customHeight="1" x14ac:dyDescent="0.2"/>
    <row r="5" spans="1:24" x14ac:dyDescent="0.2">
      <c r="B5" s="13" t="s">
        <v>0</v>
      </c>
      <c r="H5" s="17" t="s">
        <v>677</v>
      </c>
      <c r="I5" s="13" t="s">
        <v>743</v>
      </c>
      <c r="J5" s="18"/>
      <c r="K5" s="17" t="s">
        <v>675</v>
      </c>
      <c r="L5" s="13" t="s">
        <v>730</v>
      </c>
      <c r="M5" s="44" t="s">
        <v>30</v>
      </c>
      <c r="N5" s="44" t="s">
        <v>38</v>
      </c>
      <c r="O5" s="44" t="s">
        <v>927</v>
      </c>
      <c r="P5" s="44" t="s">
        <v>929</v>
      </c>
      <c r="Q5" s="45" t="s">
        <v>564</v>
      </c>
      <c r="R5" s="44" t="s">
        <v>718</v>
      </c>
      <c r="S5" s="44" t="s">
        <v>719</v>
      </c>
      <c r="T5" s="44" t="s">
        <v>720</v>
      </c>
      <c r="U5" s="44" t="s">
        <v>936</v>
      </c>
      <c r="V5" s="44" t="s">
        <v>935</v>
      </c>
      <c r="W5" s="19" t="s">
        <v>673</v>
      </c>
      <c r="X5" s="17" t="s">
        <v>677</v>
      </c>
    </row>
    <row r="6" spans="1:24" ht="17" thickBot="1" x14ac:dyDescent="0.25">
      <c r="A6" s="23"/>
      <c r="B6" s="24"/>
      <c r="C6" s="339" t="s">
        <v>1</v>
      </c>
      <c r="D6" s="25" t="s">
        <v>2</v>
      </c>
      <c r="E6" s="25" t="s">
        <v>4</v>
      </c>
      <c r="F6" s="24" t="s">
        <v>3</v>
      </c>
      <c r="G6" s="24" t="s">
        <v>5</v>
      </c>
      <c r="H6" s="26" t="s">
        <v>740</v>
      </c>
      <c r="I6" s="24" t="s">
        <v>744</v>
      </c>
      <c r="J6" s="24" t="s">
        <v>742</v>
      </c>
      <c r="K6" s="26" t="s">
        <v>676</v>
      </c>
      <c r="L6" s="24" t="s">
        <v>731</v>
      </c>
      <c r="M6" s="27" t="s">
        <v>6</v>
      </c>
      <c r="N6" s="27" t="s">
        <v>7</v>
      </c>
      <c r="O6" s="200" t="s">
        <v>928</v>
      </c>
      <c r="P6" s="200" t="s">
        <v>930</v>
      </c>
      <c r="Q6" s="25" t="s">
        <v>565</v>
      </c>
      <c r="R6" s="27" t="s">
        <v>932</v>
      </c>
      <c r="S6" s="200" t="s">
        <v>933</v>
      </c>
      <c r="T6" s="200" t="s">
        <v>934</v>
      </c>
      <c r="U6" s="27" t="s">
        <v>937</v>
      </c>
      <c r="V6" s="200" t="s">
        <v>940</v>
      </c>
      <c r="W6" s="28" t="s">
        <v>674</v>
      </c>
      <c r="X6" s="26" t="s">
        <v>676</v>
      </c>
    </row>
    <row r="7" spans="1:24" x14ac:dyDescent="0.2">
      <c r="B7" s="14">
        <f>IF('Employee Input 18-19'!B7="","",'Employee Input 18-19'!B7)</f>
        <v>1100</v>
      </c>
      <c r="C7" s="340" t="str">
        <f>IF('Employee Input 18-19'!C7="","",'Employee Input 18-19'!C7)</f>
        <v>Kathleen Kasperson</v>
      </c>
      <c r="D7" s="14" t="str">
        <f>IF('Employee Input 18-19'!D7="","",'Employee Input 18-19'!D7)</f>
        <v>Teacher</v>
      </c>
      <c r="E7" s="14" t="str">
        <f>IF('Employee Input 18-19'!E7="","",'Employee Input 18-19'!E7)</f>
        <v>Education</v>
      </c>
      <c r="F7" s="14">
        <f>IF('Employee Input 18-19'!F7="","",'Employee Input 18-19'!F7)</f>
        <v>1</v>
      </c>
      <c r="G7" s="300">
        <f>IF('Employee Input 18-19'!G7="","",'Employee Input 18-19'!G7*(1+$G$2))</f>
        <v>55071.769882499997</v>
      </c>
      <c r="H7" s="10">
        <f>IF(F7="","",F7*G7)</f>
        <v>55071.769882499997</v>
      </c>
      <c r="I7" s="11">
        <f>IF('Employee Input 18-19'!I7="","",'Employee Input 18-19'!I7)</f>
        <v>0</v>
      </c>
      <c r="J7" s="11">
        <f>IF('Employee Input 18-19'!J7="","",'Employee Input 18-19'!J7)</f>
        <v>0</v>
      </c>
      <c r="K7" s="10">
        <f>SUM(H7:J7)</f>
        <v>55071.769882499997</v>
      </c>
      <c r="L7" s="16" t="str">
        <f>IF('Employee Input 18-19'!L7="","",'Employee Input 18-19'!L7)</f>
        <v>STRS</v>
      </c>
      <c r="M7" s="10">
        <f>IF($L7="STRS",$M$2*$K7,"")</f>
        <v>7946.8563940447502</v>
      </c>
      <c r="N7" s="10" t="str">
        <f>IF($L7="PERS",$N$2*$K7,"")</f>
        <v/>
      </c>
      <c r="O7" s="10" t="str">
        <f>IF($L7="STRS","",$O$2*$K7)</f>
        <v/>
      </c>
      <c r="P7" s="10">
        <f>$P$2*K7</f>
        <v>798.54066329625005</v>
      </c>
      <c r="Q7" s="351">
        <f>+$Q$2</f>
        <v>500</v>
      </c>
      <c r="R7" s="12">
        <f>+'Employee Input 18-19'!R7</f>
        <v>12900</v>
      </c>
      <c r="S7" s="12">
        <f>+K7*$S$2</f>
        <v>1101.4353976499999</v>
      </c>
      <c r="T7" s="12">
        <f>$T$2*$K7</f>
        <v>660.86123858999997</v>
      </c>
      <c r="U7" s="12"/>
      <c r="V7" s="12"/>
      <c r="W7" s="12">
        <f>SUM(R7:V7,M7:P7)</f>
        <v>23407.693693581001</v>
      </c>
      <c r="X7" s="12">
        <f>W7+K7</f>
        <v>78479.463576081005</v>
      </c>
    </row>
    <row r="8" spans="1:24" x14ac:dyDescent="0.2">
      <c r="B8" s="14">
        <f>IF('Employee Input 18-19'!B8="","",'Employee Input 18-19'!B8)</f>
        <v>1100</v>
      </c>
      <c r="C8" s="340" t="str">
        <f>IF('Employee Input 18-19'!C8="","",'Employee Input 18-19'!C8)</f>
        <v>Natalie Shoptaw</v>
      </c>
      <c r="D8" s="14" t="str">
        <f>IF('Employee Input 18-19'!D8="","",'Employee Input 18-19'!D8)</f>
        <v>Teacher</v>
      </c>
      <c r="E8" s="14" t="str">
        <f>IF('Employee Input 18-19'!E8="","",'Employee Input 18-19'!E8)</f>
        <v>Education</v>
      </c>
      <c r="F8" s="14">
        <f>IF('Employee Input 18-19'!F8="","",'Employee Input 18-19'!F8)</f>
        <v>1</v>
      </c>
      <c r="G8" s="300">
        <f>IF('Employee Input 18-19'!G8="","",'Employee Input 18-19'!G8*(1+$G$2))</f>
        <v>47505.234815999996</v>
      </c>
      <c r="H8" s="10">
        <f t="shared" ref="H8:H17" si="0">IF(F8="","",F8*G8)</f>
        <v>47505.234815999996</v>
      </c>
      <c r="I8" s="11">
        <f>IF('Employee Input 18-19'!I8="","",'Employee Input 18-19'!I8)</f>
        <v>1500</v>
      </c>
      <c r="J8" s="11">
        <f>IF('Employee Input 18-19'!J8="","",'Employee Input 18-19'!J8)</f>
        <v>0</v>
      </c>
      <c r="K8" s="10">
        <f t="shared" ref="K8:K17" si="1">SUM(H8:J8)</f>
        <v>49005.234815999996</v>
      </c>
      <c r="L8" s="16" t="str">
        <f>IF('Employee Input 18-19'!L8="","",'Employee Input 18-19'!L8)</f>
        <v>STRS</v>
      </c>
      <c r="M8" s="10">
        <f t="shared" ref="M8:M25" si="2">IF($L8="STRS",$M$2*$K8,"")</f>
        <v>7071.4553839487999</v>
      </c>
      <c r="N8" s="10" t="str">
        <f t="shared" ref="N8:N25" si="3">IF($L8="PERS",$N$2*$K8,"")</f>
        <v/>
      </c>
      <c r="O8" s="10" t="str">
        <f t="shared" ref="O8:O25" si="4">IF($L8="STRS","",$O$2*$K8)</f>
        <v/>
      </c>
      <c r="P8" s="10">
        <f t="shared" ref="P8:P17" si="5">$P$2*K8</f>
        <v>710.57590483199999</v>
      </c>
      <c r="Q8" s="351">
        <f t="shared" ref="Q8:Q25" si="6">+$Q$2</f>
        <v>500</v>
      </c>
      <c r="R8" s="12">
        <f>+'Employee Input 18-19'!R8</f>
        <v>12900</v>
      </c>
      <c r="S8" s="12">
        <f t="shared" ref="S8:S17" si="7">+K8*$S$2</f>
        <v>980.1046963199999</v>
      </c>
      <c r="T8" s="12">
        <f t="shared" ref="T8:T25" si="8">$T$2*$K8</f>
        <v>588.06281779199992</v>
      </c>
      <c r="U8" s="12"/>
      <c r="V8" s="12"/>
      <c r="W8" s="12">
        <f t="shared" ref="W8:W17" si="9">SUM(R8:V8,M8:P8)</f>
        <v>22250.198802892799</v>
      </c>
      <c r="X8" s="12">
        <f t="shared" ref="X8:X17" si="10">W8+K8</f>
        <v>71255.433618892799</v>
      </c>
    </row>
    <row r="9" spans="1:24" x14ac:dyDescent="0.2">
      <c r="B9" s="14">
        <f>IF('Employee Input 18-19'!B9="","",'Employee Input 18-19'!B9)</f>
        <v>1100</v>
      </c>
      <c r="C9" s="340" t="str">
        <f>IF('Employee Input 18-19'!C9="","",'Employee Input 18-19'!C9)</f>
        <v>Samantha Walz</v>
      </c>
      <c r="D9" s="14" t="str">
        <f>IF('Employee Input 18-19'!D9="","",'Employee Input 18-19'!D9)</f>
        <v>Teacher</v>
      </c>
      <c r="E9" s="14" t="str">
        <f>IF('Employee Input 18-19'!E9="","",'Employee Input 18-19'!E9)</f>
        <v>Education</v>
      </c>
      <c r="F9" s="14">
        <f>IF('Employee Input 18-19'!F9="","",'Employee Input 18-19'!F9)</f>
        <v>1</v>
      </c>
      <c r="G9" s="300">
        <f>IF('Employee Input 18-19'!G9="","",'Employee Input 18-19'!G9*(1+$G$2))</f>
        <v>53467.545860999999</v>
      </c>
      <c r="H9" s="10">
        <f t="shared" si="0"/>
        <v>53467.545860999999</v>
      </c>
      <c r="I9" s="11">
        <f>IF('Employee Input 18-19'!I9="","",'Employee Input 18-19'!I9)</f>
        <v>0</v>
      </c>
      <c r="J9" s="11">
        <f>IF('Employee Input 18-19'!J9="","",'Employee Input 18-19'!J9)</f>
        <v>0</v>
      </c>
      <c r="K9" s="10">
        <f t="shared" si="1"/>
        <v>53467.545860999999</v>
      </c>
      <c r="L9" s="16" t="str">
        <f>IF('Employee Input 18-19'!L9="","",'Employee Input 18-19'!L9)</f>
        <v>STRS</v>
      </c>
      <c r="M9" s="10">
        <f t="shared" si="2"/>
        <v>7715.3668677423002</v>
      </c>
      <c r="N9" s="10" t="str">
        <f t="shared" si="3"/>
        <v/>
      </c>
      <c r="O9" s="10" t="str">
        <f t="shared" si="4"/>
        <v/>
      </c>
      <c r="P9" s="10">
        <f t="shared" si="5"/>
        <v>775.27941498450002</v>
      </c>
      <c r="Q9" s="351">
        <f t="shared" si="6"/>
        <v>500</v>
      </c>
      <c r="R9" s="12">
        <f>+'Employee Input 18-19'!R9</f>
        <v>10500</v>
      </c>
      <c r="S9" s="12">
        <f t="shared" si="7"/>
        <v>1069.3509172199999</v>
      </c>
      <c r="T9" s="12">
        <f t="shared" si="8"/>
        <v>641.610550332</v>
      </c>
      <c r="U9" s="12"/>
      <c r="V9" s="12"/>
      <c r="W9" s="12">
        <f t="shared" si="9"/>
        <v>20701.607750278799</v>
      </c>
      <c r="X9" s="12">
        <f t="shared" si="10"/>
        <v>74169.153611278802</v>
      </c>
    </row>
    <row r="10" spans="1:24" x14ac:dyDescent="0.2">
      <c r="B10" s="14">
        <f>IF('Employee Input 18-19'!B10="","",'Employee Input 18-19'!B10)</f>
        <v>1100</v>
      </c>
      <c r="C10" s="340" t="str">
        <f>IF('Employee Input 18-19'!C10="","",'Employee Input 18-19'!C10)</f>
        <v>Maragret Normoyle</v>
      </c>
      <c r="D10" s="14" t="str">
        <f>IF('Employee Input 18-19'!D10="","",'Employee Input 18-19'!D10)</f>
        <v>Teacher</v>
      </c>
      <c r="E10" s="14" t="str">
        <f>IF('Employee Input 18-19'!E10="","",'Employee Input 18-19'!E10)</f>
        <v>Education</v>
      </c>
      <c r="F10" s="14">
        <f>IF('Employee Input 18-19'!F10="","",'Employee Input 18-19'!F10)</f>
        <v>1</v>
      </c>
      <c r="G10" s="300">
        <f>IF('Employee Input 18-19'!G10="","",'Employee Input 18-19'!G10*(1+$G$2))</f>
        <v>50398.547818499996</v>
      </c>
      <c r="H10" s="10">
        <f t="shared" si="0"/>
        <v>50398.547818499996</v>
      </c>
      <c r="I10" s="11">
        <f>IF('Employee Input 18-19'!I10="","",'Employee Input 18-19'!I10)</f>
        <v>0</v>
      </c>
      <c r="J10" s="11">
        <f>IF('Employee Input 18-19'!J10="","",'Employee Input 18-19'!J10)</f>
        <v>0</v>
      </c>
      <c r="K10" s="10">
        <f t="shared" si="1"/>
        <v>50398.547818499996</v>
      </c>
      <c r="L10" s="16" t="str">
        <f>IF('Employee Input 18-19'!L10="","",'Employee Input 18-19'!L10)</f>
        <v>STRS</v>
      </c>
      <c r="M10" s="10">
        <f t="shared" si="2"/>
        <v>7272.5104502095501</v>
      </c>
      <c r="N10" s="10" t="str">
        <f t="shared" si="3"/>
        <v/>
      </c>
      <c r="O10" s="10" t="str">
        <f t="shared" si="4"/>
        <v/>
      </c>
      <c r="P10" s="10">
        <f t="shared" si="5"/>
        <v>730.77894336825</v>
      </c>
      <c r="Q10" s="351">
        <f t="shared" si="6"/>
        <v>500</v>
      </c>
      <c r="R10" s="12">
        <f>+'Employee Input 18-19'!R10</f>
        <v>12900</v>
      </c>
      <c r="S10" s="12">
        <f t="shared" si="7"/>
        <v>1007.97095637</v>
      </c>
      <c r="T10" s="12">
        <f t="shared" si="8"/>
        <v>604.7825738219999</v>
      </c>
      <c r="U10" s="12"/>
      <c r="V10" s="12"/>
      <c r="W10" s="12">
        <f t="shared" si="9"/>
        <v>22516.042923769797</v>
      </c>
      <c r="X10" s="12">
        <f t="shared" si="10"/>
        <v>72914.590742269793</v>
      </c>
    </row>
    <row r="11" spans="1:24" x14ac:dyDescent="0.2">
      <c r="B11" s="14">
        <f>IF('Employee Input 18-19'!B11="","",'Employee Input 18-19'!B11)</f>
        <v>1100</v>
      </c>
      <c r="C11" s="340" t="str">
        <f>IF('Employee Input 18-19'!C11="","",'Employee Input 18-19'!C11)</f>
        <v>Kim Morgan</v>
      </c>
      <c r="D11" s="14" t="str">
        <f>IF('Employee Input 18-19'!D11="","",'Employee Input 18-19'!D11)</f>
        <v>Teacher</v>
      </c>
      <c r="E11" s="14" t="str">
        <f>IF('Employee Input 18-19'!E11="","",'Employee Input 18-19'!E11)</f>
        <v>Education</v>
      </c>
      <c r="F11" s="14">
        <f>IF('Employee Input 18-19'!F11="","",'Employee Input 18-19'!F11)</f>
        <v>1</v>
      </c>
      <c r="G11" s="300">
        <f>IF('Employee Input 18-19'!G11="","",'Employee Input 18-19'!G11*(1+$G$2))</f>
        <v>53467.545860999999</v>
      </c>
      <c r="H11" s="10">
        <f t="shared" si="0"/>
        <v>53467.545860999999</v>
      </c>
      <c r="I11" s="11">
        <f>IF('Employee Input 18-19'!I11="","",'Employee Input 18-19'!I11)</f>
        <v>0</v>
      </c>
      <c r="J11" s="11">
        <f>IF('Employee Input 18-19'!J11="","",'Employee Input 18-19'!J11)</f>
        <v>0</v>
      </c>
      <c r="K11" s="10">
        <f t="shared" si="1"/>
        <v>53467.545860999999</v>
      </c>
      <c r="L11" s="16" t="str">
        <f>IF('Employee Input 18-19'!L11="","",'Employee Input 18-19'!L11)</f>
        <v>STRS</v>
      </c>
      <c r="M11" s="10">
        <f t="shared" si="2"/>
        <v>7715.3668677423002</v>
      </c>
      <c r="N11" s="10" t="str">
        <f t="shared" si="3"/>
        <v/>
      </c>
      <c r="O11" s="10" t="str">
        <f t="shared" si="4"/>
        <v/>
      </c>
      <c r="P11" s="10">
        <f t="shared" si="5"/>
        <v>775.27941498450002</v>
      </c>
      <c r="Q11" s="351">
        <f t="shared" si="6"/>
        <v>500</v>
      </c>
      <c r="R11" s="12">
        <f>+'Employee Input 18-19'!R11</f>
        <v>12900</v>
      </c>
      <c r="S11" s="12">
        <f t="shared" si="7"/>
        <v>1069.3509172199999</v>
      </c>
      <c r="T11" s="12">
        <f t="shared" si="8"/>
        <v>641.610550332</v>
      </c>
      <c r="U11" s="12"/>
      <c r="V11" s="12"/>
      <c r="W11" s="12">
        <f t="shared" si="9"/>
        <v>23101.607750278799</v>
      </c>
      <c r="X11" s="12">
        <f t="shared" si="10"/>
        <v>76569.153611278802</v>
      </c>
    </row>
    <row r="12" spans="1:24" x14ac:dyDescent="0.2">
      <c r="B12" s="14">
        <f>IF('Employee Input 18-19'!B12="","",'Employee Input 18-19'!B12)</f>
        <v>1120</v>
      </c>
      <c r="C12" s="340" t="str">
        <f>IF('Employee Input 18-19'!C12="","",'Employee Input 18-19'!C12)</f>
        <v>Subs</v>
      </c>
      <c r="D12" s="14">
        <f>IF('Employee Input 18-19'!D12="","",'Employee Input 18-19'!D12)</f>
        <v>0</v>
      </c>
      <c r="E12" s="14" t="str">
        <f>IF('Employee Input 18-19'!E12="","",'Employee Input 18-19'!E12)</f>
        <v>Education</v>
      </c>
      <c r="F12" s="14">
        <f>IF('Employee Input 18-19'!F12="","",'Employee Input 18-19'!F12)</f>
        <v>1</v>
      </c>
      <c r="G12" s="300">
        <f>IF('Employee Input 18-19'!G12="","",'Employee Input 18-19'!G12*(1+$G$2))</f>
        <v>1756.8503999999998</v>
      </c>
      <c r="H12" s="10">
        <f t="shared" si="0"/>
        <v>1756.8503999999998</v>
      </c>
      <c r="I12" s="11">
        <f>IF('Employee Input 18-19'!I12="","",'Employee Input 18-19'!I12)</f>
        <v>0</v>
      </c>
      <c r="J12" s="11">
        <f>IF('Employee Input 18-19'!J12="","",'Employee Input 18-19'!J12)</f>
        <v>0</v>
      </c>
      <c r="K12" s="10">
        <f t="shared" si="1"/>
        <v>1756.8503999999998</v>
      </c>
      <c r="L12" s="16" t="str">
        <f>IF('Employee Input 18-19'!L12="","",'Employee Input 18-19'!L12)</f>
        <v>STRS</v>
      </c>
      <c r="M12" s="10">
        <f t="shared" si="2"/>
        <v>253.51351271999999</v>
      </c>
      <c r="N12" s="10" t="str">
        <f t="shared" si="3"/>
        <v/>
      </c>
      <c r="O12" s="10" t="str">
        <f t="shared" si="4"/>
        <v/>
      </c>
      <c r="P12" s="10">
        <f t="shared" si="5"/>
        <v>25.474330799999997</v>
      </c>
      <c r="Q12" s="351">
        <f t="shared" si="6"/>
        <v>500</v>
      </c>
      <c r="R12" s="12">
        <f>+'Employee Input 18-19'!R12</f>
        <v>0</v>
      </c>
      <c r="S12" s="12">
        <f t="shared" si="7"/>
        <v>35.137007999999994</v>
      </c>
      <c r="T12" s="12">
        <f t="shared" si="8"/>
        <v>21.0822048</v>
      </c>
      <c r="U12" s="12"/>
      <c r="V12" s="12"/>
      <c r="W12" s="12">
        <f t="shared" si="9"/>
        <v>335.20705631999999</v>
      </c>
      <c r="X12" s="12">
        <f t="shared" si="10"/>
        <v>2092.0574563199998</v>
      </c>
    </row>
    <row r="13" spans="1:24" x14ac:dyDescent="0.2">
      <c r="B13" s="14">
        <f>IF('Employee Input 18-19'!B13="","",'Employee Input 18-19'!B13)</f>
        <v>1300</v>
      </c>
      <c r="C13" s="340" t="str">
        <f>IF('Employee Input 18-19'!C13="","",'Employee Input 18-19'!C13)</f>
        <v>Roger Coy</v>
      </c>
      <c r="D13" s="14" t="str">
        <f>IF('Employee Input 18-19'!D13="","",'Employee Input 18-19'!D13)</f>
        <v>School Director</v>
      </c>
      <c r="E13" s="14" t="str">
        <f>IF('Employee Input 18-19'!E13="","",'Employee Input 18-19'!E13)</f>
        <v>Support</v>
      </c>
      <c r="F13" s="14">
        <f>IF('Employee Input 18-19'!F13="","",'Employee Input 18-19'!F13)</f>
        <v>1</v>
      </c>
      <c r="G13" s="300">
        <f>IF('Employee Input 18-19'!G13="","",'Employee Input 18-19'!G13*(1+$G$2))</f>
        <v>71372.047500000001</v>
      </c>
      <c r="H13" s="10">
        <f t="shared" si="0"/>
        <v>71372.047500000001</v>
      </c>
      <c r="I13" s="11">
        <f>IF('Employee Input 18-19'!I13="","",'Employee Input 18-19'!I13)</f>
        <v>1500</v>
      </c>
      <c r="J13" s="11">
        <f>IF('Employee Input 18-19'!J13="","",'Employee Input 18-19'!J13)</f>
        <v>0</v>
      </c>
      <c r="K13" s="10">
        <f t="shared" si="1"/>
        <v>72872.047500000001</v>
      </c>
      <c r="L13" s="16" t="str">
        <f>IF('Employee Input 18-19'!L13="","",'Employee Input 18-19'!L13)</f>
        <v>STRS</v>
      </c>
      <c r="M13" s="10">
        <f t="shared" si="2"/>
        <v>10515.436454250001</v>
      </c>
      <c r="N13" s="10" t="str">
        <f t="shared" si="3"/>
        <v/>
      </c>
      <c r="O13" s="10" t="str">
        <f t="shared" si="4"/>
        <v/>
      </c>
      <c r="P13" s="10">
        <f t="shared" si="5"/>
        <v>1056.6446887500001</v>
      </c>
      <c r="Q13" s="351">
        <f t="shared" si="6"/>
        <v>500</v>
      </c>
      <c r="R13" s="12">
        <f>+'Employee Input 18-19'!R13</f>
        <v>10500</v>
      </c>
      <c r="S13" s="12">
        <f t="shared" si="7"/>
        <v>1457.4409499999999</v>
      </c>
      <c r="T13" s="12">
        <f t="shared" si="8"/>
        <v>874.46456999999998</v>
      </c>
      <c r="U13" s="12"/>
      <c r="V13" s="12"/>
      <c r="W13" s="12">
        <f t="shared" si="9"/>
        <v>24403.986663</v>
      </c>
      <c r="X13" s="12">
        <f t="shared" si="10"/>
        <v>97276.034163000004</v>
      </c>
    </row>
    <row r="14" spans="1:24" x14ac:dyDescent="0.2">
      <c r="B14" s="14">
        <f>IF('Employee Input 18-19'!B14="","",'Employee Input 18-19'!B14)</f>
        <v>2100</v>
      </c>
      <c r="C14" s="340" t="str">
        <f>IF('Employee Input 18-19'!C14="","",'Employee Input 18-19'!C14)</f>
        <v>3-4 Aide</v>
      </c>
      <c r="D14" s="14" t="str">
        <f>IF('Employee Input 18-19'!D14="","",'Employee Input 18-19'!D14)</f>
        <v>Instructional Aide #1</v>
      </c>
      <c r="E14" s="14" t="str">
        <f>IF('Employee Input 18-19'!E14="","",'Employee Input 18-19'!E14)</f>
        <v>Education</v>
      </c>
      <c r="F14" s="14">
        <f>IF('Employee Input 18-19'!F14="","",'Employee Input 18-19'!F14)</f>
        <v>1</v>
      </c>
      <c r="G14" s="300">
        <f>IF('Employee Input 18-19'!G14="","",'Employee Input 18-19'!G14*(1+$G$2))</f>
        <v>15570.086669999999</v>
      </c>
      <c r="H14" s="10">
        <f t="shared" si="0"/>
        <v>15570.086669999999</v>
      </c>
      <c r="I14" s="11">
        <f>IF('Employee Input 18-19'!I14="","",'Employee Input 18-19'!I14)</f>
        <v>0</v>
      </c>
      <c r="J14" s="11">
        <f>IF('Employee Input 18-19'!J14="","",'Employee Input 18-19'!J14)</f>
        <v>0</v>
      </c>
      <c r="K14" s="10">
        <f t="shared" si="1"/>
        <v>15570.086669999999</v>
      </c>
      <c r="L14" s="16">
        <f>IF('Employee Input 18-19'!L14="","",'Employee Input 18-19'!L14)</f>
        <v>0</v>
      </c>
      <c r="M14" s="10" t="str">
        <f t="shared" si="2"/>
        <v/>
      </c>
      <c r="N14" s="10" t="str">
        <f t="shared" si="3"/>
        <v/>
      </c>
      <c r="O14" s="10">
        <f t="shared" si="4"/>
        <v>973.13041687499992</v>
      </c>
      <c r="P14" s="10">
        <f t="shared" si="5"/>
        <v>225.766256715</v>
      </c>
      <c r="Q14" s="351">
        <f t="shared" si="6"/>
        <v>500</v>
      </c>
      <c r="R14" s="12">
        <f>+'Employee Input 18-19'!R14</f>
        <v>0</v>
      </c>
      <c r="S14" s="12">
        <f t="shared" si="7"/>
        <v>311.40173339999996</v>
      </c>
      <c r="T14" s="12">
        <f t="shared" si="8"/>
        <v>186.84104004</v>
      </c>
      <c r="U14" s="12"/>
      <c r="V14" s="12"/>
      <c r="W14" s="12">
        <f t="shared" si="9"/>
        <v>1697.1394470299999</v>
      </c>
      <c r="X14" s="12">
        <f t="shared" si="10"/>
        <v>17267.226117029997</v>
      </c>
    </row>
    <row r="15" spans="1:24" x14ac:dyDescent="0.2">
      <c r="B15" s="14">
        <f>IF('Employee Input 18-19'!B15="","",'Employee Input 18-19'!B15)</f>
        <v>2100</v>
      </c>
      <c r="C15" s="340" t="str">
        <f>IF('Employee Input 18-19'!C15="","",'Employee Input 18-19'!C15)</f>
        <v>7-12 Aide</v>
      </c>
      <c r="D15" s="14" t="str">
        <f>IF('Employee Input 18-19'!D15="","",'Employee Input 18-19'!D15)</f>
        <v>Instructional Aide #2</v>
      </c>
      <c r="E15" s="14" t="str">
        <f>IF('Employee Input 18-19'!E15="","",'Employee Input 18-19'!E15)</f>
        <v>Education</v>
      </c>
      <c r="F15" s="14">
        <f>IF('Employee Input 18-19'!F15="","",'Employee Input 18-19'!F15)</f>
        <v>1</v>
      </c>
      <c r="G15" s="300">
        <f>IF('Employee Input 18-19'!G15="","",'Employee Input 18-19'!G15*(1+$G$2))</f>
        <v>15570.086669999999</v>
      </c>
      <c r="H15" s="10">
        <f t="shared" si="0"/>
        <v>15570.086669999999</v>
      </c>
      <c r="I15" s="11">
        <f>IF('Employee Input 18-19'!I15="","",'Employee Input 18-19'!I15)</f>
        <v>0</v>
      </c>
      <c r="J15" s="11">
        <f>IF('Employee Input 18-19'!J15="","",'Employee Input 18-19'!J15)</f>
        <v>0</v>
      </c>
      <c r="K15" s="10">
        <f t="shared" si="1"/>
        <v>15570.086669999999</v>
      </c>
      <c r="L15" s="16">
        <f>IF('Employee Input 18-19'!L15="","",'Employee Input 18-19'!L15)</f>
        <v>0</v>
      </c>
      <c r="M15" s="10" t="str">
        <f t="shared" si="2"/>
        <v/>
      </c>
      <c r="N15" s="10" t="str">
        <f t="shared" si="3"/>
        <v/>
      </c>
      <c r="O15" s="10">
        <f t="shared" si="4"/>
        <v>973.13041687499992</v>
      </c>
      <c r="P15" s="10">
        <f t="shared" si="5"/>
        <v>225.766256715</v>
      </c>
      <c r="Q15" s="351">
        <f t="shared" si="6"/>
        <v>500</v>
      </c>
      <c r="R15" s="12">
        <f>+'Employee Input 18-19'!R15</f>
        <v>0</v>
      </c>
      <c r="S15" s="12">
        <f t="shared" si="7"/>
        <v>311.40173339999996</v>
      </c>
      <c r="T15" s="12">
        <f t="shared" si="8"/>
        <v>186.84104004</v>
      </c>
      <c r="U15" s="12"/>
      <c r="V15" s="12"/>
      <c r="W15" s="12">
        <f t="shared" si="9"/>
        <v>1697.1394470299999</v>
      </c>
      <c r="X15" s="12">
        <f t="shared" si="10"/>
        <v>17267.226117029997</v>
      </c>
    </row>
    <row r="16" spans="1:24" x14ac:dyDescent="0.2">
      <c r="B16" s="14">
        <f>IF('Employee Input 18-19'!B16="","",'Employee Input 18-19'!B16)</f>
        <v>2100</v>
      </c>
      <c r="C16" s="340" t="str">
        <f>IF('Employee Input 18-19'!C16="","",'Employee Input 18-19'!C16)</f>
        <v>5-6 Aide</v>
      </c>
      <c r="D16" s="14" t="str">
        <f>IF('Employee Input 18-19'!D16="","",'Employee Input 18-19'!D16)</f>
        <v>Instructional Aide</v>
      </c>
      <c r="E16" s="14" t="str">
        <f>IF('Employee Input 18-19'!E16="","",'Employee Input 18-19'!E16)</f>
        <v>Education</v>
      </c>
      <c r="F16" s="14">
        <f>IF('Employee Input 18-19'!F16="","",'Employee Input 18-19'!F16)</f>
        <v>1</v>
      </c>
      <c r="G16" s="300">
        <f>IF('Employee Input 18-19'!G16="","",'Employee Input 18-19'!G16*(1+$G$2))</f>
        <v>15570.086669999999</v>
      </c>
      <c r="H16" s="10">
        <f t="shared" si="0"/>
        <v>15570.086669999999</v>
      </c>
      <c r="I16" s="11">
        <f>IF('Employee Input 18-19'!I16="","",'Employee Input 18-19'!I16)</f>
        <v>0</v>
      </c>
      <c r="J16" s="11">
        <f>IF('Employee Input 18-19'!J16="","",'Employee Input 18-19'!J16)</f>
        <v>0</v>
      </c>
      <c r="K16" s="10">
        <f t="shared" si="1"/>
        <v>15570.086669999999</v>
      </c>
      <c r="L16" s="16">
        <f>IF('Employee Input 18-19'!L16="","",'Employee Input 18-19'!L16)</f>
        <v>0</v>
      </c>
      <c r="M16" s="10" t="str">
        <f t="shared" si="2"/>
        <v/>
      </c>
      <c r="N16" s="10" t="str">
        <f t="shared" si="3"/>
        <v/>
      </c>
      <c r="O16" s="10">
        <f t="shared" si="4"/>
        <v>973.13041687499992</v>
      </c>
      <c r="P16" s="10">
        <f t="shared" si="5"/>
        <v>225.766256715</v>
      </c>
      <c r="Q16" s="351">
        <f t="shared" si="6"/>
        <v>500</v>
      </c>
      <c r="R16" s="12">
        <f>+'Employee Input 18-19'!R16</f>
        <v>0</v>
      </c>
      <c r="S16" s="12">
        <f t="shared" si="7"/>
        <v>311.40173339999996</v>
      </c>
      <c r="T16" s="12">
        <f t="shared" si="8"/>
        <v>186.84104004</v>
      </c>
      <c r="U16" s="12"/>
      <c r="V16" s="12"/>
      <c r="W16" s="12">
        <f t="shared" si="9"/>
        <v>1697.1394470299999</v>
      </c>
      <c r="X16" s="12">
        <f t="shared" si="10"/>
        <v>17267.226117029997</v>
      </c>
    </row>
    <row r="17" spans="2:24" x14ac:dyDescent="0.2">
      <c r="B17" s="14">
        <f>IF('Employee Input 18-19'!B17="","",'Employee Input 18-19'!B17)</f>
        <v>2100</v>
      </c>
      <c r="C17" s="340" t="str">
        <f>IF('Employee Input 18-19'!C17="","",'Employee Input 18-19'!C17)</f>
        <v>Sarah Haye</v>
      </c>
      <c r="D17" s="14" t="str">
        <f>IF('Employee Input 18-19'!D17="","",'Employee Input 18-19'!D17)</f>
        <v>Instructional Aide</v>
      </c>
      <c r="E17" s="14" t="str">
        <f>IF('Employee Input 18-19'!E17="","",'Employee Input 18-19'!E17)</f>
        <v>Education</v>
      </c>
      <c r="F17" s="14">
        <f>IF('Employee Input 18-19'!F17="","",'Employee Input 18-19'!F17)</f>
        <v>1</v>
      </c>
      <c r="G17" s="300">
        <f>IF('Employee Input 18-19'!G17="","",'Employee Input 18-19'!G17*(1+$G$2))</f>
        <v>15570.086669999999</v>
      </c>
      <c r="H17" s="10">
        <f t="shared" si="0"/>
        <v>15570.086669999999</v>
      </c>
      <c r="I17" s="11">
        <f>IF('Employee Input 18-19'!I17="","",'Employee Input 18-19'!I17)</f>
        <v>0</v>
      </c>
      <c r="J17" s="11">
        <f>IF('Employee Input 18-19'!J17="","",'Employee Input 18-19'!J17)</f>
        <v>0</v>
      </c>
      <c r="K17" s="10">
        <f t="shared" si="1"/>
        <v>15570.086669999999</v>
      </c>
      <c r="L17" s="16">
        <f>IF('Employee Input 18-19'!L17="","",'Employee Input 18-19'!L17)</f>
        <v>0</v>
      </c>
      <c r="M17" s="10" t="str">
        <f t="shared" si="2"/>
        <v/>
      </c>
      <c r="N17" s="10" t="str">
        <f t="shared" si="3"/>
        <v/>
      </c>
      <c r="O17" s="10">
        <f t="shared" si="4"/>
        <v>973.13041687499992</v>
      </c>
      <c r="P17" s="10">
        <f t="shared" si="5"/>
        <v>225.766256715</v>
      </c>
      <c r="Q17" s="351">
        <f t="shared" si="6"/>
        <v>500</v>
      </c>
      <c r="R17" s="12">
        <f>+'Employee Input 18-19'!R17</f>
        <v>0</v>
      </c>
      <c r="S17" s="12">
        <f t="shared" si="7"/>
        <v>311.40173339999996</v>
      </c>
      <c r="T17" s="12">
        <f t="shared" si="8"/>
        <v>186.84104004</v>
      </c>
      <c r="U17" s="12"/>
      <c r="V17" s="12"/>
      <c r="W17" s="12">
        <f t="shared" si="9"/>
        <v>1697.1394470299999</v>
      </c>
      <c r="X17" s="12">
        <f t="shared" si="10"/>
        <v>17267.226117029997</v>
      </c>
    </row>
    <row r="18" spans="2:24" x14ac:dyDescent="0.2">
      <c r="B18" s="14">
        <f>IF('Employee Input 18-19'!B18="","",'Employee Input 18-19'!B18)</f>
        <v>2100</v>
      </c>
      <c r="C18" s="340" t="str">
        <f>IF('Employee Input 18-19'!C18="","",'Employee Input 18-19'!C18)</f>
        <v>Bre Goetson</v>
      </c>
      <c r="D18" s="14" t="str">
        <f>IF('Employee Input 18-19'!D18="","",'Employee Input 18-19'!D18)</f>
        <v>Instructional Aide</v>
      </c>
      <c r="E18" s="14" t="str">
        <f>IF('Employee Input 18-19'!E18="","",'Employee Input 18-19'!E18)</f>
        <v>Education</v>
      </c>
      <c r="F18" s="14">
        <f>IF('Employee Input 18-19'!F18="","",'Employee Input 18-19'!F18)</f>
        <v>1</v>
      </c>
      <c r="G18" s="300">
        <f>IF('Employee Input 18-19'!G18="","",'Employee Input 18-19'!G18*(1+$G$2))</f>
        <v>10980.314999999999</v>
      </c>
      <c r="H18" s="10">
        <f t="shared" ref="H18:H25" si="11">IF(F18="","",F18*G18)</f>
        <v>10980.314999999999</v>
      </c>
      <c r="I18" s="11">
        <f>IF('Employee Input 18-19'!I18="","",'Employee Input 18-19'!I18)</f>
        <v>0</v>
      </c>
      <c r="J18" s="11">
        <f>IF('Employee Input 18-19'!J18="","",'Employee Input 18-19'!J18)</f>
        <v>0</v>
      </c>
      <c r="K18" s="10">
        <f t="shared" ref="K18:K25" si="12">SUM(H18:J18)</f>
        <v>10980.314999999999</v>
      </c>
      <c r="L18" s="16">
        <f>IF('Employee Input 18-19'!L18="","",'Employee Input 18-19'!L18)</f>
        <v>0</v>
      </c>
      <c r="M18" s="10" t="str">
        <f t="shared" si="2"/>
        <v/>
      </c>
      <c r="N18" s="10" t="str">
        <f t="shared" si="3"/>
        <v/>
      </c>
      <c r="O18" s="10">
        <f t="shared" si="4"/>
        <v>686.26968749999992</v>
      </c>
      <c r="P18" s="10">
        <f t="shared" ref="P18:P25" si="13">$P$2*K18</f>
        <v>159.21456749999999</v>
      </c>
      <c r="Q18" s="351">
        <f t="shared" si="6"/>
        <v>500</v>
      </c>
      <c r="R18" s="12">
        <f>+'Employee Input 18-19'!R18</f>
        <v>0</v>
      </c>
      <c r="S18" s="12">
        <f t="shared" ref="S18:S25" si="14">+K18*$S$2</f>
        <v>219.60629999999998</v>
      </c>
      <c r="T18" s="12">
        <f t="shared" si="8"/>
        <v>131.76378</v>
      </c>
      <c r="U18" s="12"/>
      <c r="V18" s="12"/>
      <c r="W18" s="12">
        <f t="shared" ref="W18:W25" si="15">SUM(R18:V18,M18:P18)</f>
        <v>1196.8543349999998</v>
      </c>
      <c r="X18" s="12">
        <f t="shared" ref="X18:X25" si="16">W18+K18</f>
        <v>12177.169334999999</v>
      </c>
    </row>
    <row r="19" spans="2:24" x14ac:dyDescent="0.2">
      <c r="B19" s="14">
        <f>IF('Employee Input 18-19'!B19="","",'Employee Input 18-19'!B19)</f>
        <v>2100</v>
      </c>
      <c r="C19" s="340" t="str">
        <f>IF('Employee Input 18-19'!C19="","",'Employee Input 18-19'!C19)</f>
        <v>Cyndi Channel</v>
      </c>
      <c r="D19" s="14" t="str">
        <f>IF('Employee Input 18-19'!D19="","",'Employee Input 18-19'!D19)</f>
        <v>Instructional Aide</v>
      </c>
      <c r="E19" s="14" t="str">
        <f>IF('Employee Input 18-19'!E19="","",'Employee Input 18-19'!E19)</f>
        <v>Education</v>
      </c>
      <c r="F19" s="14">
        <f>IF('Employee Input 18-19'!F19="","",'Employee Input 18-19'!F19)</f>
        <v>1</v>
      </c>
      <c r="G19" s="300">
        <f>IF('Employee Input 18-19'!G19="","",'Employee Input 18-19'!G19*(1+$G$2))</f>
        <v>5490.1574999999993</v>
      </c>
      <c r="H19" s="10">
        <f t="shared" si="11"/>
        <v>5490.1574999999993</v>
      </c>
      <c r="I19" s="11">
        <f>IF('Employee Input 18-19'!I19="","",'Employee Input 18-19'!I19)</f>
        <v>0</v>
      </c>
      <c r="J19" s="11">
        <f>IF('Employee Input 18-19'!J19="","",'Employee Input 18-19'!J19)</f>
        <v>0</v>
      </c>
      <c r="K19" s="10">
        <f t="shared" si="12"/>
        <v>5490.1574999999993</v>
      </c>
      <c r="L19" s="16">
        <f>IF('Employee Input 18-19'!L19="","",'Employee Input 18-19'!L19)</f>
        <v>0</v>
      </c>
      <c r="M19" s="10" t="str">
        <f t="shared" si="2"/>
        <v/>
      </c>
      <c r="N19" s="10" t="str">
        <f t="shared" si="3"/>
        <v/>
      </c>
      <c r="O19" s="10">
        <f t="shared" si="4"/>
        <v>343.13484374999996</v>
      </c>
      <c r="P19" s="10">
        <f t="shared" si="13"/>
        <v>79.607283749999993</v>
      </c>
      <c r="Q19" s="351">
        <f t="shared" si="6"/>
        <v>500</v>
      </c>
      <c r="R19" s="12">
        <f>+'Employee Input 18-19'!R19</f>
        <v>0</v>
      </c>
      <c r="S19" s="12">
        <f t="shared" si="14"/>
        <v>109.80314999999999</v>
      </c>
      <c r="T19" s="12">
        <f t="shared" si="8"/>
        <v>65.881889999999999</v>
      </c>
      <c r="U19" s="12"/>
      <c r="V19" s="12"/>
      <c r="W19" s="12">
        <f t="shared" si="15"/>
        <v>598.42716749999988</v>
      </c>
      <c r="X19" s="12">
        <f t="shared" si="16"/>
        <v>6088.5846674999993</v>
      </c>
    </row>
    <row r="20" spans="2:24" outlineLevel="1" x14ac:dyDescent="0.2">
      <c r="B20" s="14">
        <f>IF('Employee Input 18-19'!B20="","",'Employee Input 18-19'!B20)</f>
        <v>2100</v>
      </c>
      <c r="C20" s="340" t="str">
        <f>IF('Employee Input 18-19'!C20="","",'Employee Input 18-19'!C20)</f>
        <v>Music 1</v>
      </c>
      <c r="D20" s="14" t="str">
        <f>IF('Employee Input 18-19'!D20="","",'Employee Input 18-19'!D20)</f>
        <v>Instructional Aide</v>
      </c>
      <c r="E20" s="14" t="str">
        <f>IF('Employee Input 18-19'!E20="","",'Employee Input 18-19'!E20)</f>
        <v>Education</v>
      </c>
      <c r="F20" s="14">
        <f>IF('Employee Input 18-19'!F20="","",'Employee Input 18-19'!F20)</f>
        <v>1</v>
      </c>
      <c r="G20" s="300">
        <f>IF('Employee Input 18-19'!G20="","",'Employee Input 18-19'!G20*(1+$G$2))</f>
        <v>5490.1574999999993</v>
      </c>
      <c r="H20" s="10">
        <f t="shared" si="11"/>
        <v>5490.1574999999993</v>
      </c>
      <c r="I20" s="11">
        <f>IF('Employee Input 18-19'!I20="","",'Employee Input 18-19'!I20)</f>
        <v>0</v>
      </c>
      <c r="J20" s="11">
        <f>IF('Employee Input 18-19'!J20="","",'Employee Input 18-19'!J20)</f>
        <v>0</v>
      </c>
      <c r="K20" s="10">
        <f t="shared" si="12"/>
        <v>5490.1574999999993</v>
      </c>
      <c r="L20" s="16">
        <f>IF('Employee Input 18-19'!L20="","",'Employee Input 18-19'!L20)</f>
        <v>0</v>
      </c>
      <c r="M20" s="10" t="str">
        <f t="shared" si="2"/>
        <v/>
      </c>
      <c r="N20" s="10" t="str">
        <f t="shared" si="3"/>
        <v/>
      </c>
      <c r="O20" s="10">
        <f t="shared" si="4"/>
        <v>343.13484374999996</v>
      </c>
      <c r="P20" s="10">
        <f t="shared" si="13"/>
        <v>79.607283749999993</v>
      </c>
      <c r="Q20" s="351">
        <f t="shared" si="6"/>
        <v>500</v>
      </c>
      <c r="R20" s="12">
        <f>+'Employee Input 18-19'!R20</f>
        <v>0</v>
      </c>
      <c r="S20" s="12">
        <f t="shared" si="14"/>
        <v>109.80314999999999</v>
      </c>
      <c r="T20" s="12">
        <f t="shared" si="8"/>
        <v>65.881889999999999</v>
      </c>
      <c r="U20" s="12"/>
      <c r="V20" s="12"/>
      <c r="W20" s="12">
        <f t="shared" si="15"/>
        <v>598.42716749999988</v>
      </c>
      <c r="X20" s="12">
        <f t="shared" si="16"/>
        <v>6088.5846674999993</v>
      </c>
    </row>
    <row r="21" spans="2:24" outlineLevel="1" x14ac:dyDescent="0.2">
      <c r="B21" s="14">
        <f>IF('Employee Input 18-19'!B21="","",'Employee Input 18-19'!B21)</f>
        <v>2100</v>
      </c>
      <c r="C21" s="340" t="str">
        <f>IF('Employee Input 18-19'!C21="","",'Employee Input 18-19'!C21)</f>
        <v>Music 2</v>
      </c>
      <c r="D21" s="14" t="str">
        <f>IF('Employee Input 18-19'!D21="","",'Employee Input 18-19'!D21)</f>
        <v>Instructional Aide</v>
      </c>
      <c r="E21" s="14" t="str">
        <f>IF('Employee Input 18-19'!E21="","",'Employee Input 18-19'!E21)</f>
        <v>Education</v>
      </c>
      <c r="F21" s="14">
        <f>IF('Employee Input 18-19'!F21="","",'Employee Input 18-19'!F21)</f>
        <v>1</v>
      </c>
      <c r="G21" s="300">
        <f>IF('Employee Input 18-19'!G21="","",'Employee Input 18-19'!G21*(1+$G$2))</f>
        <v>4392.1260000000002</v>
      </c>
      <c r="H21" s="10">
        <f t="shared" si="11"/>
        <v>4392.1260000000002</v>
      </c>
      <c r="I21" s="11">
        <f>IF('Employee Input 18-19'!I21="","",'Employee Input 18-19'!I21)</f>
        <v>0</v>
      </c>
      <c r="J21" s="11">
        <f>IF('Employee Input 18-19'!J21="","",'Employee Input 18-19'!J21)</f>
        <v>0</v>
      </c>
      <c r="K21" s="10">
        <f t="shared" si="12"/>
        <v>4392.1260000000002</v>
      </c>
      <c r="L21" s="16">
        <f>IF('Employee Input 18-19'!L21="","",'Employee Input 18-19'!L21)</f>
        <v>0</v>
      </c>
      <c r="M21" s="10" t="str">
        <f t="shared" si="2"/>
        <v/>
      </c>
      <c r="N21" s="10" t="str">
        <f t="shared" si="3"/>
        <v/>
      </c>
      <c r="O21" s="10">
        <f t="shared" si="4"/>
        <v>274.50787500000001</v>
      </c>
      <c r="P21" s="10">
        <f t="shared" si="13"/>
        <v>63.685827000000003</v>
      </c>
      <c r="Q21" s="351">
        <f t="shared" si="6"/>
        <v>500</v>
      </c>
      <c r="R21" s="12">
        <f>+'Employee Input 18-19'!R21</f>
        <v>0</v>
      </c>
      <c r="S21" s="12">
        <f t="shared" si="14"/>
        <v>87.842520000000007</v>
      </c>
      <c r="T21" s="12">
        <f t="shared" si="8"/>
        <v>52.705512000000006</v>
      </c>
      <c r="U21" s="12"/>
      <c r="V21" s="12"/>
      <c r="W21" s="12">
        <f t="shared" si="15"/>
        <v>478.74173400000006</v>
      </c>
      <c r="X21" s="12">
        <f t="shared" si="16"/>
        <v>4870.8677340000004</v>
      </c>
    </row>
    <row r="22" spans="2:24" outlineLevel="1" x14ac:dyDescent="0.2">
      <c r="B22" s="14">
        <f>IF('Employee Input 18-19'!B22="","",'Employee Input 18-19'!B22)</f>
        <v>2100</v>
      </c>
      <c r="C22" s="340" t="str">
        <f>IF('Employee Input 18-19'!C22="","",'Employee Input 18-19'!C22)</f>
        <v>Music 3</v>
      </c>
      <c r="D22" s="14" t="str">
        <f>IF('Employee Input 18-19'!D22="","",'Employee Input 18-19'!D22)</f>
        <v>Instructional Aide</v>
      </c>
      <c r="E22" s="14" t="str">
        <f>IF('Employee Input 18-19'!E22="","",'Employee Input 18-19'!E22)</f>
        <v>Education</v>
      </c>
      <c r="F22" s="14">
        <f>IF('Employee Input 18-19'!F22="","",'Employee Input 18-19'!F22)</f>
        <v>1</v>
      </c>
      <c r="G22" s="300">
        <f>IF('Employee Input 18-19'!G22="","",'Employee Input 18-19'!G22*(1+$G$2))</f>
        <v>2745.0787499999997</v>
      </c>
      <c r="H22" s="10">
        <f t="shared" si="11"/>
        <v>2745.0787499999997</v>
      </c>
      <c r="I22" s="11">
        <f>IF('Employee Input 18-19'!I22="","",'Employee Input 18-19'!I22)</f>
        <v>0</v>
      </c>
      <c r="J22" s="11">
        <f>IF('Employee Input 18-19'!J22="","",'Employee Input 18-19'!J22)</f>
        <v>0</v>
      </c>
      <c r="K22" s="10">
        <f t="shared" si="12"/>
        <v>2745.0787499999997</v>
      </c>
      <c r="L22" s="16">
        <f>IF('Employee Input 18-19'!L22="","",'Employee Input 18-19'!L22)</f>
        <v>0</v>
      </c>
      <c r="M22" s="10" t="str">
        <f t="shared" si="2"/>
        <v/>
      </c>
      <c r="N22" s="10" t="str">
        <f t="shared" si="3"/>
        <v/>
      </c>
      <c r="O22" s="10">
        <f t="shared" si="4"/>
        <v>171.56742187499998</v>
      </c>
      <c r="P22" s="10">
        <f t="shared" si="13"/>
        <v>39.803641874999997</v>
      </c>
      <c r="Q22" s="351">
        <f t="shared" si="6"/>
        <v>500</v>
      </c>
      <c r="R22" s="12">
        <f>+'Employee Input 18-19'!R22</f>
        <v>0</v>
      </c>
      <c r="S22" s="12">
        <f t="shared" si="14"/>
        <v>54.901574999999994</v>
      </c>
      <c r="T22" s="12">
        <f t="shared" si="8"/>
        <v>32.940944999999999</v>
      </c>
      <c r="U22" s="12"/>
      <c r="V22" s="12"/>
      <c r="W22" s="12">
        <f t="shared" si="15"/>
        <v>299.21358374999994</v>
      </c>
      <c r="X22" s="12">
        <f t="shared" si="16"/>
        <v>3044.2923337499997</v>
      </c>
    </row>
    <row r="23" spans="2:24" outlineLevel="1" x14ac:dyDescent="0.2">
      <c r="B23" s="14">
        <f>IF('Employee Input 18-19'!B23="","",'Employee Input 18-19'!B23)</f>
        <v>2100</v>
      </c>
      <c r="C23" s="340" t="str">
        <f>IF('Employee Input 18-19'!C23="","",'Employee Input 18-19'!C23)</f>
        <v>Music 4</v>
      </c>
      <c r="D23" s="14" t="str">
        <f>IF('Employee Input 18-19'!D23="","",'Employee Input 18-19'!D23)</f>
        <v>Instructional Aide</v>
      </c>
      <c r="E23" s="14" t="str">
        <f>IF('Employee Input 18-19'!E23="","",'Employee Input 18-19'!E23)</f>
        <v>Education</v>
      </c>
      <c r="F23" s="14">
        <f>IF('Employee Input 18-19'!F23="","",'Employee Input 18-19'!F23)</f>
        <v>1</v>
      </c>
      <c r="G23" s="300">
        <f>IF('Employee Input 18-19'!G23="","",'Employee Input 18-19'!G23*(1+$G$2))</f>
        <v>1647.0472500000001</v>
      </c>
      <c r="H23" s="10">
        <f t="shared" si="11"/>
        <v>1647.0472500000001</v>
      </c>
      <c r="I23" s="11">
        <f>IF('Employee Input 18-19'!I23="","",'Employee Input 18-19'!I23)</f>
        <v>0</v>
      </c>
      <c r="J23" s="11">
        <f>IF('Employee Input 18-19'!J23="","",'Employee Input 18-19'!J23)</f>
        <v>0</v>
      </c>
      <c r="K23" s="10">
        <f t="shared" si="12"/>
        <v>1647.0472500000001</v>
      </c>
      <c r="L23" s="16">
        <f>IF('Employee Input 18-19'!L23="","",'Employee Input 18-19'!L23)</f>
        <v>0</v>
      </c>
      <c r="M23" s="10" t="str">
        <f t="shared" si="2"/>
        <v/>
      </c>
      <c r="N23" s="10" t="str">
        <f t="shared" si="3"/>
        <v/>
      </c>
      <c r="O23" s="10">
        <f t="shared" si="4"/>
        <v>102.940453125</v>
      </c>
      <c r="P23" s="10">
        <f t="shared" si="13"/>
        <v>23.882185125000003</v>
      </c>
      <c r="Q23" s="351">
        <f t="shared" si="6"/>
        <v>500</v>
      </c>
      <c r="R23" s="12">
        <f>+'Employee Input 18-19'!R23</f>
        <v>0</v>
      </c>
      <c r="S23" s="12">
        <f t="shared" si="14"/>
        <v>32.940944999999999</v>
      </c>
      <c r="T23" s="12">
        <f t="shared" si="8"/>
        <v>19.764567</v>
      </c>
      <c r="U23" s="12"/>
      <c r="V23" s="12"/>
      <c r="W23" s="12">
        <f t="shared" si="15"/>
        <v>179.52815025000001</v>
      </c>
      <c r="X23" s="12">
        <f t="shared" si="16"/>
        <v>1826.57540025</v>
      </c>
    </row>
    <row r="24" spans="2:24" outlineLevel="1" x14ac:dyDescent="0.2">
      <c r="B24" s="14">
        <f>IF('Employee Input 18-19'!B24="","",'Employee Input 18-19'!B24)</f>
        <v>2100</v>
      </c>
      <c r="C24" s="340" t="str">
        <f>IF('Employee Input 18-19'!C24="","",'Employee Input 18-19'!C24)</f>
        <v>Tutor</v>
      </c>
      <c r="D24" s="14" t="str">
        <f>IF('Employee Input 18-19'!D24="","",'Employee Input 18-19'!D24)</f>
        <v>Instructional Aide</v>
      </c>
      <c r="E24" s="14" t="str">
        <f>IF('Employee Input 18-19'!E24="","",'Employee Input 18-19'!E24)</f>
        <v>Education</v>
      </c>
      <c r="F24" s="14">
        <f>IF('Employee Input 18-19'!F24="","",'Employee Input 18-19'!F24)</f>
        <v>1</v>
      </c>
      <c r="G24" s="300">
        <f>IF('Employee Input 18-19'!G24="","",'Employee Input 18-19'!G24*(1+$G$2))</f>
        <v>5490.1574999999993</v>
      </c>
      <c r="H24" s="10">
        <f t="shared" si="11"/>
        <v>5490.1574999999993</v>
      </c>
      <c r="I24" s="11">
        <f>IF('Employee Input 18-19'!I24="","",'Employee Input 18-19'!I24)</f>
        <v>0</v>
      </c>
      <c r="J24" s="11">
        <f>IF('Employee Input 18-19'!J24="","",'Employee Input 18-19'!J24)</f>
        <v>0</v>
      </c>
      <c r="K24" s="10">
        <f t="shared" si="12"/>
        <v>5490.1574999999993</v>
      </c>
      <c r="L24" s="16">
        <f>IF('Employee Input 18-19'!L24="","",'Employee Input 18-19'!L24)</f>
        <v>0</v>
      </c>
      <c r="M24" s="10" t="str">
        <f t="shared" si="2"/>
        <v/>
      </c>
      <c r="N24" s="10" t="str">
        <f t="shared" si="3"/>
        <v/>
      </c>
      <c r="O24" s="10">
        <f t="shared" si="4"/>
        <v>343.13484374999996</v>
      </c>
      <c r="P24" s="10">
        <f t="shared" si="13"/>
        <v>79.607283749999993</v>
      </c>
      <c r="Q24" s="351">
        <f t="shared" si="6"/>
        <v>500</v>
      </c>
      <c r="R24" s="12">
        <f>+'Employee Input 18-19'!R24</f>
        <v>0</v>
      </c>
      <c r="S24" s="12">
        <f t="shared" si="14"/>
        <v>109.80314999999999</v>
      </c>
      <c r="T24" s="12">
        <f t="shared" si="8"/>
        <v>65.881889999999999</v>
      </c>
      <c r="U24" s="12"/>
      <c r="V24" s="12"/>
      <c r="W24" s="12">
        <f t="shared" si="15"/>
        <v>598.42716749999988</v>
      </c>
      <c r="X24" s="12">
        <f t="shared" si="16"/>
        <v>6088.5846674999993</v>
      </c>
    </row>
    <row r="25" spans="2:24" outlineLevel="1" x14ac:dyDescent="0.2">
      <c r="B25" s="14">
        <f>IF('Employee Input 18-19'!B25="","",'Employee Input 18-19'!B25)</f>
        <v>2400</v>
      </c>
      <c r="C25" s="340" t="str">
        <f>IF('Employee Input 18-19'!C25="","",'Employee Input 18-19'!C25)</f>
        <v>Marcia Mollett</v>
      </c>
      <c r="D25" s="14" t="str">
        <f>IF('Employee Input 18-19'!D25="","",'Employee Input 18-19'!D25)</f>
        <v>Support</v>
      </c>
      <c r="E25" s="14" t="str">
        <f>IF('Employee Input 18-19'!E25="","",'Employee Input 18-19'!E25)</f>
        <v>Support</v>
      </c>
      <c r="F25" s="14">
        <f>IF('Employee Input 18-19'!F25="","",'Employee Input 18-19'!F25)</f>
        <v>1</v>
      </c>
      <c r="G25" s="300">
        <f>IF('Employee Input 18-19'!G25="","",'Employee Input 18-19'!G25*(1+$G$2))</f>
        <v>20423.385900000001</v>
      </c>
      <c r="H25" s="10">
        <f t="shared" si="11"/>
        <v>20423.385900000001</v>
      </c>
      <c r="I25" s="11">
        <f>IF('Employee Input 18-19'!I25="","",'Employee Input 18-19'!I25)</f>
        <v>0</v>
      </c>
      <c r="J25" s="11">
        <f>IF('Employee Input 18-19'!J25="","",'Employee Input 18-19'!J25)</f>
        <v>0</v>
      </c>
      <c r="K25" s="10">
        <f t="shared" si="12"/>
        <v>20423.385900000001</v>
      </c>
      <c r="L25" s="16">
        <f>IF('Employee Input 18-19'!L25="","",'Employee Input 18-19'!L25)</f>
        <v>0</v>
      </c>
      <c r="M25" s="10" t="str">
        <f t="shared" si="2"/>
        <v/>
      </c>
      <c r="N25" s="10" t="str">
        <f t="shared" si="3"/>
        <v/>
      </c>
      <c r="O25" s="10">
        <f t="shared" si="4"/>
        <v>1276.4616187500001</v>
      </c>
      <c r="P25" s="10">
        <f t="shared" si="13"/>
        <v>296.13909555000004</v>
      </c>
      <c r="Q25" s="351">
        <f t="shared" si="6"/>
        <v>500</v>
      </c>
      <c r="R25" s="12">
        <f>+'Employee Input 18-19'!R25</f>
        <v>8400</v>
      </c>
      <c r="S25" s="12">
        <f t="shared" si="14"/>
        <v>408.46771800000005</v>
      </c>
      <c r="T25" s="12">
        <f t="shared" si="8"/>
        <v>245.08063080000002</v>
      </c>
      <c r="U25" s="12"/>
      <c r="V25" s="12"/>
      <c r="W25" s="12">
        <f t="shared" si="15"/>
        <v>10626.149063099998</v>
      </c>
      <c r="X25" s="12">
        <f t="shared" si="16"/>
        <v>31049.534963099999</v>
      </c>
    </row>
    <row r="26" spans="2:24" outlineLevel="1" x14ac:dyDescent="0.2">
      <c r="B26" s="14"/>
      <c r="C26" s="340"/>
      <c r="D26" s="14"/>
      <c r="E26" s="14"/>
      <c r="F26" s="14"/>
      <c r="G26" s="300"/>
      <c r="H26" s="10"/>
      <c r="I26" s="11"/>
      <c r="J26" s="11"/>
      <c r="K26" s="10"/>
      <c r="L26" s="16"/>
      <c r="M26" s="10"/>
      <c r="N26" s="10"/>
      <c r="O26" s="10"/>
      <c r="P26" s="10"/>
      <c r="Q26" s="351"/>
      <c r="R26" s="12"/>
      <c r="S26" s="12"/>
      <c r="T26" s="12"/>
      <c r="U26" s="12"/>
      <c r="V26" s="12"/>
      <c r="W26" s="12"/>
      <c r="X26" s="12"/>
    </row>
    <row r="27" spans="2:24" outlineLevel="1" x14ac:dyDescent="0.2">
      <c r="B27" s="14"/>
      <c r="C27" s="340"/>
      <c r="D27" s="14"/>
      <c r="E27" s="14"/>
      <c r="F27" s="14"/>
      <c r="G27" s="300"/>
      <c r="H27" s="10"/>
      <c r="I27" s="11"/>
      <c r="J27" s="11"/>
      <c r="K27" s="10"/>
      <c r="L27" s="16"/>
      <c r="M27" s="10"/>
      <c r="N27" s="10"/>
      <c r="O27" s="10"/>
      <c r="P27" s="10"/>
      <c r="Q27" s="351"/>
      <c r="R27" s="12"/>
      <c r="S27" s="12"/>
      <c r="T27" s="12"/>
      <c r="U27" s="12"/>
      <c r="V27" s="12"/>
      <c r="W27" s="12"/>
      <c r="X27" s="12"/>
    </row>
    <row r="28" spans="2:24" outlineLevel="1" x14ac:dyDescent="0.2">
      <c r="B28" s="14"/>
      <c r="C28" s="340"/>
      <c r="D28" s="14"/>
      <c r="E28" s="14"/>
      <c r="F28" s="14"/>
      <c r="G28" s="300"/>
      <c r="H28" s="10"/>
      <c r="I28" s="11"/>
      <c r="J28" s="11"/>
      <c r="K28" s="10"/>
      <c r="L28" s="16"/>
      <c r="M28" s="10"/>
      <c r="N28" s="10"/>
      <c r="O28" s="10"/>
      <c r="P28" s="10"/>
      <c r="Q28" s="304"/>
      <c r="R28" s="12"/>
      <c r="S28" s="12"/>
      <c r="T28" s="12"/>
      <c r="U28" s="12"/>
      <c r="V28" s="12"/>
      <c r="W28" s="12"/>
      <c r="X28" s="12"/>
    </row>
    <row r="29" spans="2:24" outlineLevel="1" x14ac:dyDescent="0.2">
      <c r="B29" s="14"/>
      <c r="C29" s="340"/>
      <c r="D29" s="14"/>
      <c r="E29" s="14"/>
      <c r="F29" s="14"/>
      <c r="G29" s="300"/>
      <c r="H29" s="10"/>
      <c r="I29" s="11"/>
      <c r="J29" s="11"/>
      <c r="K29" s="10"/>
      <c r="L29" s="16"/>
      <c r="M29" s="10"/>
      <c r="N29" s="10"/>
      <c r="O29" s="10"/>
      <c r="P29" s="10"/>
      <c r="Q29" s="304"/>
      <c r="R29" s="12"/>
      <c r="S29" s="12"/>
      <c r="T29" s="12"/>
      <c r="U29" s="12"/>
      <c r="V29" s="12"/>
      <c r="W29" s="12"/>
      <c r="X29" s="12"/>
    </row>
    <row r="30" spans="2:24" outlineLevel="1" x14ac:dyDescent="0.2">
      <c r="B30" s="14"/>
      <c r="C30" s="340"/>
      <c r="D30" s="14"/>
      <c r="E30" s="14"/>
      <c r="F30" s="14"/>
      <c r="G30" s="300"/>
      <c r="H30" s="10"/>
      <c r="I30" s="11"/>
      <c r="J30" s="11"/>
      <c r="K30" s="10"/>
      <c r="L30" s="16"/>
      <c r="M30" s="10"/>
      <c r="N30" s="10"/>
      <c r="O30" s="10"/>
      <c r="P30" s="10"/>
      <c r="Q30" s="304"/>
      <c r="R30" s="12"/>
      <c r="S30" s="12"/>
      <c r="T30" s="12"/>
      <c r="U30" s="12"/>
      <c r="V30" s="12"/>
      <c r="W30" s="12"/>
      <c r="X30" s="12"/>
    </row>
    <row r="31" spans="2:24" outlineLevel="1" x14ac:dyDescent="0.2">
      <c r="B31" s="14"/>
      <c r="C31" s="340"/>
      <c r="D31" s="14"/>
      <c r="E31" s="14"/>
      <c r="F31" s="14"/>
      <c r="G31" s="300"/>
      <c r="H31" s="10"/>
      <c r="I31" s="11"/>
      <c r="J31" s="11"/>
      <c r="K31" s="10"/>
      <c r="L31" s="16"/>
      <c r="M31" s="10"/>
      <c r="N31" s="10"/>
      <c r="O31" s="10"/>
      <c r="P31" s="10"/>
      <c r="Q31" s="304"/>
      <c r="R31" s="12"/>
      <c r="S31" s="12"/>
      <c r="T31" s="12"/>
      <c r="U31" s="12"/>
      <c r="V31" s="12"/>
      <c r="W31" s="12"/>
      <c r="X31" s="12"/>
    </row>
    <row r="32" spans="2:24" outlineLevel="1" x14ac:dyDescent="0.2">
      <c r="B32" s="14"/>
      <c r="C32" s="340"/>
      <c r="D32" s="14"/>
      <c r="E32" s="14"/>
      <c r="F32" s="14"/>
      <c r="G32" s="300"/>
      <c r="H32" s="10"/>
      <c r="I32" s="11"/>
      <c r="J32" s="11"/>
      <c r="K32" s="10"/>
      <c r="L32" s="16"/>
      <c r="M32" s="10"/>
      <c r="N32" s="10"/>
      <c r="O32" s="10"/>
      <c r="P32" s="10"/>
      <c r="Q32" s="304"/>
      <c r="R32" s="12"/>
      <c r="S32" s="12"/>
      <c r="T32" s="12"/>
      <c r="U32" s="12"/>
      <c r="V32" s="12"/>
      <c r="W32" s="12"/>
      <c r="X32" s="12"/>
    </row>
    <row r="33" spans="2:24" outlineLevel="1" x14ac:dyDescent="0.2">
      <c r="B33" s="14"/>
      <c r="C33" s="340"/>
      <c r="D33" s="14"/>
      <c r="E33" s="14"/>
      <c r="F33" s="14"/>
      <c r="G33" s="300"/>
      <c r="H33" s="10"/>
      <c r="I33" s="11"/>
      <c r="J33" s="11"/>
      <c r="K33" s="10"/>
      <c r="L33" s="16"/>
      <c r="M33" s="10"/>
      <c r="N33" s="10"/>
      <c r="O33" s="10"/>
      <c r="P33" s="10"/>
      <c r="Q33" s="304"/>
      <c r="R33" s="12"/>
      <c r="S33" s="12"/>
      <c r="T33" s="12"/>
      <c r="U33" s="12"/>
      <c r="V33" s="12"/>
      <c r="W33" s="12"/>
      <c r="X33" s="12"/>
    </row>
    <row r="34" spans="2:24" outlineLevel="1" x14ac:dyDescent="0.2">
      <c r="B34" s="14"/>
      <c r="C34" s="340"/>
      <c r="D34" s="14"/>
      <c r="E34" s="14"/>
      <c r="F34" s="14"/>
      <c r="G34" s="300"/>
      <c r="H34" s="10"/>
      <c r="I34" s="11"/>
      <c r="J34" s="11"/>
      <c r="K34" s="10"/>
      <c r="L34" s="16"/>
      <c r="M34" s="10"/>
      <c r="N34" s="10"/>
      <c r="O34" s="10"/>
      <c r="P34" s="10"/>
      <c r="Q34" s="304"/>
      <c r="R34" s="12"/>
      <c r="S34" s="12"/>
      <c r="T34" s="12"/>
      <c r="U34" s="12"/>
      <c r="V34" s="12"/>
      <c r="W34" s="12"/>
      <c r="X34" s="12"/>
    </row>
    <row r="35" spans="2:24" outlineLevel="1" x14ac:dyDescent="0.2">
      <c r="B35" s="14"/>
      <c r="C35" s="340"/>
      <c r="D35" s="14"/>
      <c r="E35" s="14"/>
      <c r="F35" s="14"/>
      <c r="G35" s="300"/>
      <c r="H35" s="10"/>
      <c r="I35" s="11"/>
      <c r="J35" s="11"/>
      <c r="K35" s="10"/>
      <c r="L35" s="16"/>
      <c r="M35" s="10"/>
      <c r="N35" s="10"/>
      <c r="O35" s="10"/>
      <c r="P35" s="10"/>
      <c r="Q35" s="304"/>
      <c r="R35" s="12"/>
      <c r="S35" s="12"/>
      <c r="T35" s="12"/>
      <c r="U35" s="12"/>
      <c r="V35" s="12"/>
      <c r="W35" s="12"/>
      <c r="X35" s="12"/>
    </row>
    <row r="36" spans="2:24" outlineLevel="1" x14ac:dyDescent="0.2">
      <c r="B36" s="14"/>
      <c r="C36" s="340"/>
      <c r="D36" s="14"/>
      <c r="E36" s="14"/>
      <c r="F36" s="14"/>
      <c r="G36" s="300"/>
      <c r="H36" s="10"/>
      <c r="I36" s="11"/>
      <c r="J36" s="11"/>
      <c r="K36" s="10"/>
      <c r="L36" s="16"/>
      <c r="M36" s="10"/>
      <c r="N36" s="10"/>
      <c r="O36" s="10"/>
      <c r="P36" s="10"/>
      <c r="Q36" s="304"/>
      <c r="R36" s="12"/>
      <c r="S36" s="12"/>
      <c r="T36" s="12"/>
      <c r="U36" s="12"/>
      <c r="V36" s="12"/>
      <c r="W36" s="12"/>
      <c r="X36" s="12"/>
    </row>
    <row r="37" spans="2:24" outlineLevel="1" x14ac:dyDescent="0.2">
      <c r="B37" s="14"/>
      <c r="C37" s="340"/>
      <c r="D37" s="14"/>
      <c r="E37" s="14"/>
      <c r="F37" s="14"/>
      <c r="G37" s="300"/>
      <c r="H37" s="10"/>
      <c r="I37" s="11"/>
      <c r="J37" s="11"/>
      <c r="K37" s="10"/>
      <c r="L37" s="16"/>
      <c r="M37" s="10"/>
      <c r="N37" s="10"/>
      <c r="O37" s="10"/>
      <c r="P37" s="10"/>
      <c r="Q37" s="304"/>
      <c r="R37" s="12"/>
      <c r="S37" s="12"/>
      <c r="T37" s="12"/>
      <c r="U37" s="12"/>
      <c r="V37" s="12"/>
      <c r="W37" s="12"/>
      <c r="X37" s="12"/>
    </row>
    <row r="38" spans="2:24" outlineLevel="1" x14ac:dyDescent="0.2">
      <c r="B38" s="14"/>
      <c r="C38" s="340"/>
      <c r="D38" s="14"/>
      <c r="E38" s="14"/>
      <c r="F38" s="14"/>
      <c r="G38" s="300"/>
      <c r="H38" s="10"/>
      <c r="I38" s="11"/>
      <c r="J38" s="11"/>
      <c r="K38" s="10"/>
      <c r="L38" s="16"/>
      <c r="M38" s="10"/>
      <c r="N38" s="10"/>
      <c r="O38" s="10"/>
      <c r="P38" s="10"/>
      <c r="Q38" s="304"/>
      <c r="R38" s="12"/>
      <c r="S38" s="12"/>
      <c r="T38" s="12"/>
      <c r="U38" s="12"/>
      <c r="V38" s="12"/>
      <c r="W38" s="12"/>
      <c r="X38" s="12"/>
    </row>
    <row r="39" spans="2:24" outlineLevel="1" x14ac:dyDescent="0.2">
      <c r="B39" s="14"/>
      <c r="C39" s="340"/>
      <c r="D39" s="14"/>
      <c r="E39" s="14"/>
      <c r="F39" s="14"/>
      <c r="G39" s="300"/>
      <c r="H39" s="10"/>
      <c r="I39" s="11"/>
      <c r="J39" s="11"/>
      <c r="K39" s="10"/>
      <c r="L39" s="16"/>
      <c r="M39" s="10"/>
      <c r="N39" s="10"/>
      <c r="O39" s="10"/>
      <c r="P39" s="10"/>
      <c r="Q39" s="304"/>
      <c r="R39" s="12"/>
      <c r="S39" s="12"/>
      <c r="T39" s="12"/>
      <c r="U39" s="12"/>
      <c r="V39" s="12"/>
      <c r="W39" s="12"/>
      <c r="X39" s="12"/>
    </row>
    <row r="40" spans="2:24" outlineLevel="1" x14ac:dyDescent="0.2">
      <c r="B40" s="14"/>
      <c r="C40" s="340"/>
      <c r="D40" s="14"/>
      <c r="E40" s="14"/>
      <c r="F40" s="14"/>
      <c r="G40" s="300"/>
      <c r="H40" s="10"/>
      <c r="I40" s="11"/>
      <c r="J40" s="11"/>
      <c r="K40" s="10"/>
      <c r="L40" s="16"/>
      <c r="M40" s="10"/>
      <c r="N40" s="10"/>
      <c r="O40" s="10"/>
      <c r="P40" s="10"/>
      <c r="Q40" s="304"/>
      <c r="R40" s="12"/>
      <c r="S40" s="12"/>
      <c r="T40" s="12"/>
      <c r="U40" s="12"/>
      <c r="V40" s="12"/>
      <c r="W40" s="12"/>
      <c r="X40" s="12"/>
    </row>
    <row r="41" spans="2:24" outlineLevel="1" x14ac:dyDescent="0.2">
      <c r="B41" s="14"/>
      <c r="C41" s="340"/>
      <c r="D41" s="14"/>
      <c r="E41" s="14"/>
      <c r="F41" s="14"/>
      <c r="G41" s="300"/>
      <c r="H41" s="10"/>
      <c r="I41" s="11"/>
      <c r="J41" s="11"/>
      <c r="K41" s="10"/>
      <c r="L41" s="16"/>
      <c r="M41" s="10"/>
      <c r="N41" s="10"/>
      <c r="O41" s="10"/>
      <c r="P41" s="10"/>
      <c r="Q41" s="304"/>
      <c r="R41" s="12"/>
      <c r="S41" s="12"/>
      <c r="T41" s="12"/>
      <c r="U41" s="12"/>
      <c r="V41" s="12"/>
      <c r="W41" s="12"/>
      <c r="X41" s="12"/>
    </row>
    <row r="42" spans="2:24" outlineLevel="1" x14ac:dyDescent="0.2">
      <c r="B42" s="14"/>
      <c r="C42" s="340"/>
      <c r="D42" s="14"/>
      <c r="E42" s="14"/>
      <c r="F42" s="14"/>
      <c r="G42" s="300"/>
      <c r="H42" s="10"/>
      <c r="I42" s="11"/>
      <c r="J42" s="11"/>
      <c r="K42" s="10"/>
      <c r="L42" s="16"/>
      <c r="M42" s="10"/>
      <c r="N42" s="10"/>
      <c r="O42" s="10"/>
      <c r="P42" s="10"/>
      <c r="Q42" s="304"/>
      <c r="R42" s="12"/>
      <c r="S42" s="12"/>
      <c r="T42" s="12"/>
      <c r="U42" s="12"/>
      <c r="V42" s="12"/>
      <c r="W42" s="12"/>
      <c r="X42" s="12"/>
    </row>
    <row r="43" spans="2:24" outlineLevel="1" x14ac:dyDescent="0.2">
      <c r="B43" s="14"/>
      <c r="C43" s="340"/>
      <c r="D43" s="14"/>
      <c r="E43" s="14"/>
      <c r="F43" s="14"/>
      <c r="G43" s="300"/>
      <c r="H43" s="10"/>
      <c r="I43" s="11"/>
      <c r="J43" s="11"/>
      <c r="K43" s="10"/>
      <c r="L43" s="16"/>
      <c r="M43" s="10"/>
      <c r="N43" s="10"/>
      <c r="O43" s="10"/>
      <c r="P43" s="10"/>
      <c r="Q43" s="304"/>
      <c r="R43" s="12"/>
      <c r="S43" s="12"/>
      <c r="T43" s="12"/>
      <c r="U43" s="12"/>
      <c r="V43" s="12"/>
      <c r="W43" s="12"/>
      <c r="X43" s="12"/>
    </row>
    <row r="44" spans="2:24" outlineLevel="1" x14ac:dyDescent="0.2">
      <c r="B44" s="14"/>
      <c r="C44" s="340"/>
      <c r="D44" s="14"/>
      <c r="E44" s="14"/>
      <c r="F44" s="14"/>
      <c r="G44" s="300"/>
      <c r="H44" s="10"/>
      <c r="I44" s="11"/>
      <c r="J44" s="11"/>
      <c r="K44" s="10"/>
      <c r="L44" s="16"/>
      <c r="M44" s="10"/>
      <c r="N44" s="10"/>
      <c r="O44" s="10"/>
      <c r="P44" s="10"/>
      <c r="Q44" s="304"/>
      <c r="R44" s="12"/>
      <c r="S44" s="12"/>
      <c r="T44" s="12"/>
      <c r="U44" s="12"/>
      <c r="V44" s="12"/>
      <c r="W44" s="12"/>
      <c r="X44" s="12"/>
    </row>
    <row r="45" spans="2:24" outlineLevel="1" x14ac:dyDescent="0.2">
      <c r="B45" s="14"/>
      <c r="C45" s="340"/>
      <c r="D45" s="14"/>
      <c r="E45" s="14"/>
      <c r="F45" s="14"/>
      <c r="G45" s="300"/>
      <c r="H45" s="10"/>
      <c r="I45" s="11"/>
      <c r="J45" s="11"/>
      <c r="K45" s="10"/>
      <c r="L45" s="16"/>
      <c r="M45" s="10"/>
      <c r="N45" s="10"/>
      <c r="O45" s="10"/>
      <c r="P45" s="10"/>
      <c r="Q45" s="304"/>
      <c r="R45" s="12"/>
      <c r="S45" s="12"/>
      <c r="T45" s="12"/>
      <c r="U45" s="12"/>
      <c r="V45" s="12"/>
      <c r="W45" s="12"/>
      <c r="X45" s="12"/>
    </row>
    <row r="46" spans="2:24" outlineLevel="1" x14ac:dyDescent="0.2">
      <c r="B46" s="14"/>
      <c r="C46" s="340"/>
      <c r="D46" s="14"/>
      <c r="E46" s="14"/>
      <c r="F46" s="14"/>
      <c r="G46" s="300"/>
      <c r="H46" s="10"/>
      <c r="I46" s="11"/>
      <c r="J46" s="11"/>
      <c r="K46" s="10"/>
      <c r="L46" s="16"/>
      <c r="M46" s="10"/>
      <c r="N46" s="10"/>
      <c r="O46" s="10"/>
      <c r="P46" s="10"/>
      <c r="Q46" s="304"/>
      <c r="R46" s="12"/>
      <c r="S46" s="12"/>
      <c r="T46" s="12"/>
      <c r="U46" s="12"/>
      <c r="V46" s="12"/>
      <c r="W46" s="12"/>
      <c r="X46" s="12"/>
    </row>
    <row r="47" spans="2:24" outlineLevel="1" x14ac:dyDescent="0.2">
      <c r="B47" s="14"/>
      <c r="C47" s="340"/>
      <c r="D47" s="14"/>
      <c r="E47" s="14"/>
      <c r="F47" s="14"/>
      <c r="G47" s="300"/>
      <c r="H47" s="10"/>
      <c r="I47" s="11"/>
      <c r="J47" s="11"/>
      <c r="K47" s="10"/>
      <c r="L47" s="16"/>
      <c r="M47" s="10"/>
      <c r="N47" s="10"/>
      <c r="O47" s="10"/>
      <c r="P47" s="10"/>
      <c r="Q47" s="304"/>
      <c r="R47" s="12"/>
      <c r="S47" s="12"/>
      <c r="T47" s="12"/>
      <c r="U47" s="12"/>
      <c r="V47" s="12"/>
      <c r="W47" s="12"/>
      <c r="X47" s="12"/>
    </row>
    <row r="48" spans="2:24" outlineLevel="1" x14ac:dyDescent="0.2">
      <c r="B48" s="14"/>
      <c r="C48" s="340"/>
      <c r="D48" s="14"/>
      <c r="E48" s="14"/>
      <c r="F48" s="14"/>
      <c r="G48" s="300"/>
      <c r="H48" s="10"/>
      <c r="I48" s="11"/>
      <c r="J48" s="11"/>
      <c r="K48" s="10"/>
      <c r="L48" s="16"/>
      <c r="M48" s="10"/>
      <c r="N48" s="10"/>
      <c r="O48" s="10"/>
      <c r="P48" s="10"/>
      <c r="Q48" s="304"/>
      <c r="R48" s="12"/>
      <c r="S48" s="12"/>
      <c r="T48" s="12"/>
      <c r="U48" s="12"/>
      <c r="V48" s="12"/>
      <c r="W48" s="12"/>
      <c r="X48" s="12"/>
    </row>
    <row r="49" spans="2:24" outlineLevel="1" x14ac:dyDescent="0.2">
      <c r="B49" s="14"/>
      <c r="C49" s="340"/>
      <c r="D49" s="14"/>
      <c r="E49" s="14"/>
      <c r="F49" s="14"/>
      <c r="G49" s="300"/>
      <c r="H49" s="10"/>
      <c r="I49" s="11"/>
      <c r="J49" s="11"/>
      <c r="K49" s="10"/>
      <c r="L49" s="16"/>
      <c r="M49" s="10"/>
      <c r="N49" s="10"/>
      <c r="O49" s="10"/>
      <c r="P49" s="10"/>
      <c r="Q49" s="304"/>
      <c r="R49" s="12"/>
      <c r="S49" s="12"/>
      <c r="T49" s="12"/>
      <c r="U49" s="12"/>
      <c r="V49" s="12"/>
      <c r="W49" s="12"/>
      <c r="X49" s="12"/>
    </row>
    <row r="50" spans="2:24" outlineLevel="1" x14ac:dyDescent="0.2">
      <c r="B50" s="14"/>
      <c r="C50" s="340"/>
      <c r="D50" s="14"/>
      <c r="E50" s="14"/>
      <c r="F50" s="14"/>
      <c r="G50" s="300"/>
      <c r="H50" s="10"/>
      <c r="I50" s="11"/>
      <c r="J50" s="11"/>
      <c r="K50" s="10"/>
      <c r="L50" s="16"/>
      <c r="M50" s="10"/>
      <c r="N50" s="10"/>
      <c r="O50" s="10"/>
      <c r="P50" s="10"/>
      <c r="Q50" s="304"/>
      <c r="R50" s="12"/>
      <c r="S50" s="12"/>
      <c r="T50" s="12"/>
      <c r="U50" s="12"/>
      <c r="V50" s="12"/>
      <c r="W50" s="12"/>
      <c r="X50" s="12"/>
    </row>
    <row r="51" spans="2:24" outlineLevel="1" x14ac:dyDescent="0.2">
      <c r="B51" s="14"/>
      <c r="C51" s="340"/>
      <c r="D51" s="14"/>
      <c r="E51" s="14"/>
      <c r="F51" s="14"/>
      <c r="G51" s="300"/>
      <c r="H51" s="10"/>
      <c r="I51" s="11"/>
      <c r="J51" s="11"/>
      <c r="K51" s="10"/>
      <c r="L51" s="16"/>
      <c r="M51" s="10"/>
      <c r="N51" s="10"/>
      <c r="O51" s="10"/>
      <c r="P51" s="10"/>
      <c r="Q51" s="304"/>
      <c r="R51" s="12"/>
      <c r="S51" s="12"/>
      <c r="T51" s="12"/>
      <c r="U51" s="12"/>
      <c r="V51" s="12"/>
      <c r="W51" s="12"/>
      <c r="X51" s="12"/>
    </row>
    <row r="52" spans="2:24" outlineLevel="1" x14ac:dyDescent="0.2">
      <c r="B52" s="14"/>
      <c r="C52" s="340"/>
      <c r="D52" s="14"/>
      <c r="E52" s="14"/>
      <c r="F52" s="14"/>
      <c r="G52" s="300"/>
      <c r="H52" s="10"/>
      <c r="I52" s="11"/>
      <c r="J52" s="11"/>
      <c r="K52" s="10"/>
      <c r="L52" s="16"/>
      <c r="M52" s="10"/>
      <c r="N52" s="10"/>
      <c r="O52" s="10"/>
      <c r="P52" s="10"/>
      <c r="Q52" s="304"/>
      <c r="R52" s="12"/>
      <c r="S52" s="12"/>
      <c r="T52" s="12"/>
      <c r="U52" s="12"/>
      <c r="V52" s="12"/>
      <c r="W52" s="12"/>
      <c r="X52" s="12"/>
    </row>
    <row r="53" spans="2:24" outlineLevel="1" x14ac:dyDescent="0.2">
      <c r="B53" s="14"/>
      <c r="C53" s="340"/>
      <c r="D53" s="14"/>
      <c r="E53" s="14"/>
      <c r="F53" s="14"/>
      <c r="G53" s="300"/>
      <c r="H53" s="10"/>
      <c r="I53" s="11"/>
      <c r="J53" s="11"/>
      <c r="K53" s="10"/>
      <c r="L53" s="16"/>
      <c r="M53" s="10"/>
      <c r="N53" s="10"/>
      <c r="O53" s="10"/>
      <c r="P53" s="10"/>
      <c r="Q53" s="304"/>
      <c r="R53" s="12"/>
      <c r="S53" s="12"/>
      <c r="T53" s="12"/>
      <c r="U53" s="12"/>
      <c r="V53" s="12"/>
      <c r="W53" s="12"/>
      <c r="X53" s="12"/>
    </row>
    <row r="54" spans="2:24" outlineLevel="1" x14ac:dyDescent="0.2">
      <c r="B54" s="14"/>
      <c r="C54" s="340"/>
      <c r="D54" s="14"/>
      <c r="E54" s="14"/>
      <c r="F54" s="14"/>
      <c r="G54" s="300"/>
      <c r="H54" s="10"/>
      <c r="I54" s="11"/>
      <c r="J54" s="11"/>
      <c r="K54" s="10"/>
      <c r="L54" s="16"/>
      <c r="M54" s="10"/>
      <c r="N54" s="10"/>
      <c r="O54" s="10"/>
      <c r="P54" s="10"/>
      <c r="Q54" s="304"/>
      <c r="R54" s="12"/>
      <c r="S54" s="12"/>
      <c r="T54" s="12"/>
      <c r="U54" s="12"/>
      <c r="V54" s="12"/>
      <c r="W54" s="12"/>
      <c r="X54" s="12"/>
    </row>
    <row r="55" spans="2:24" outlineLevel="1" x14ac:dyDescent="0.2">
      <c r="B55" s="14"/>
      <c r="C55" s="340"/>
      <c r="D55" s="14"/>
      <c r="E55" s="14"/>
      <c r="F55" s="14"/>
      <c r="G55" s="300"/>
      <c r="H55" s="10"/>
      <c r="I55" s="11"/>
      <c r="J55" s="11"/>
      <c r="K55" s="10"/>
      <c r="L55" s="16"/>
      <c r="M55" s="10"/>
      <c r="N55" s="10"/>
      <c r="O55" s="10"/>
      <c r="P55" s="10"/>
      <c r="Q55" s="304"/>
      <c r="R55" s="12"/>
      <c r="S55" s="12"/>
      <c r="T55" s="12"/>
      <c r="U55" s="12"/>
      <c r="V55" s="12"/>
      <c r="W55" s="12"/>
      <c r="X55" s="12"/>
    </row>
    <row r="56" spans="2:24" outlineLevel="1" x14ac:dyDescent="0.2">
      <c r="B56" s="14"/>
      <c r="C56" s="340"/>
      <c r="D56" s="14"/>
      <c r="E56" s="14"/>
      <c r="F56" s="14"/>
      <c r="G56" s="300"/>
      <c r="H56" s="10"/>
      <c r="I56" s="11"/>
      <c r="J56" s="11"/>
      <c r="K56" s="10"/>
      <c r="L56" s="16"/>
      <c r="M56" s="10"/>
      <c r="N56" s="10"/>
      <c r="O56" s="10"/>
      <c r="P56" s="10"/>
      <c r="Q56" s="304"/>
      <c r="R56" s="12"/>
      <c r="S56" s="12"/>
      <c r="T56" s="12"/>
      <c r="U56" s="12"/>
      <c r="V56" s="12"/>
      <c r="W56" s="12"/>
      <c r="X56" s="12"/>
    </row>
    <row r="57" spans="2:24" outlineLevel="1" x14ac:dyDescent="0.2">
      <c r="B57" s="14"/>
      <c r="C57" s="340"/>
      <c r="D57" s="14"/>
      <c r="E57" s="14"/>
      <c r="F57" s="14"/>
      <c r="G57" s="300"/>
      <c r="H57" s="10"/>
      <c r="I57" s="11"/>
      <c r="J57" s="11"/>
      <c r="K57" s="10"/>
      <c r="L57" s="16"/>
      <c r="M57" s="10"/>
      <c r="N57" s="10"/>
      <c r="O57" s="10"/>
      <c r="P57" s="10"/>
      <c r="Q57" s="304"/>
      <c r="R57" s="12"/>
      <c r="S57" s="12"/>
      <c r="T57" s="12"/>
      <c r="U57" s="12"/>
      <c r="V57" s="12"/>
      <c r="W57" s="12"/>
      <c r="X57" s="12"/>
    </row>
    <row r="58" spans="2:24" outlineLevel="1" x14ac:dyDescent="0.2">
      <c r="B58" s="14"/>
      <c r="C58" s="340"/>
      <c r="D58" s="14"/>
      <c r="E58" s="14"/>
      <c r="F58" s="14"/>
      <c r="G58" s="300"/>
      <c r="H58" s="10"/>
      <c r="I58" s="11"/>
      <c r="J58" s="11"/>
      <c r="K58" s="10"/>
      <c r="L58" s="16"/>
      <c r="M58" s="10"/>
      <c r="N58" s="10"/>
      <c r="O58" s="10"/>
      <c r="P58" s="10"/>
      <c r="Q58" s="304"/>
      <c r="R58" s="12"/>
      <c r="S58" s="12"/>
      <c r="T58" s="12"/>
      <c r="U58" s="12"/>
      <c r="V58" s="12"/>
      <c r="W58" s="12"/>
      <c r="X58" s="12"/>
    </row>
    <row r="59" spans="2:24" outlineLevel="1" x14ac:dyDescent="0.2">
      <c r="B59" s="14"/>
      <c r="C59" s="340"/>
      <c r="D59" s="14"/>
      <c r="E59" s="14"/>
      <c r="F59" s="14"/>
      <c r="G59" s="300"/>
      <c r="H59" s="10"/>
      <c r="I59" s="11"/>
      <c r="J59" s="11"/>
      <c r="K59" s="10"/>
      <c r="L59" s="16"/>
      <c r="M59" s="10"/>
      <c r="N59" s="10"/>
      <c r="O59" s="10"/>
      <c r="P59" s="10"/>
      <c r="Q59" s="304"/>
      <c r="R59" s="12"/>
      <c r="S59" s="12"/>
      <c r="T59" s="12"/>
      <c r="U59" s="12"/>
      <c r="V59" s="12"/>
      <c r="W59" s="12"/>
      <c r="X59" s="12"/>
    </row>
    <row r="60" spans="2:24" outlineLevel="1" x14ac:dyDescent="0.2">
      <c r="B60" s="14"/>
      <c r="C60" s="340"/>
      <c r="D60" s="14"/>
      <c r="E60" s="14"/>
      <c r="F60" s="14"/>
      <c r="G60" s="300"/>
      <c r="H60" s="10"/>
      <c r="I60" s="11"/>
      <c r="J60" s="11"/>
      <c r="K60" s="10"/>
      <c r="L60" s="16"/>
      <c r="M60" s="10"/>
      <c r="N60" s="10"/>
      <c r="O60" s="10"/>
      <c r="P60" s="10"/>
      <c r="Q60" s="304"/>
      <c r="R60" s="12"/>
      <c r="S60" s="12"/>
      <c r="T60" s="12"/>
      <c r="U60" s="12"/>
      <c r="V60" s="12"/>
      <c r="W60" s="12"/>
      <c r="X60" s="12"/>
    </row>
    <row r="61" spans="2:24" outlineLevel="1" x14ac:dyDescent="0.2">
      <c r="B61" s="14"/>
      <c r="C61" s="340"/>
      <c r="D61" s="14"/>
      <c r="E61" s="14"/>
      <c r="F61" s="14"/>
      <c r="G61" s="300"/>
      <c r="H61" s="10"/>
      <c r="I61" s="11"/>
      <c r="J61" s="11"/>
      <c r="K61" s="10"/>
      <c r="L61" s="16"/>
      <c r="M61" s="10"/>
      <c r="N61" s="10"/>
      <c r="O61" s="10"/>
      <c r="P61" s="10"/>
      <c r="Q61" s="304"/>
      <c r="R61" s="12"/>
      <c r="S61" s="12"/>
      <c r="T61" s="12"/>
      <c r="U61" s="12"/>
      <c r="V61" s="12"/>
      <c r="W61" s="12"/>
      <c r="X61" s="12"/>
    </row>
    <row r="62" spans="2:24" outlineLevel="1" x14ac:dyDescent="0.2">
      <c r="B62" s="14"/>
      <c r="C62" s="340"/>
      <c r="D62" s="14"/>
      <c r="E62" s="14"/>
      <c r="F62" s="14"/>
      <c r="G62" s="300"/>
      <c r="H62" s="10"/>
      <c r="I62" s="11"/>
      <c r="J62" s="11"/>
      <c r="K62" s="10"/>
      <c r="L62" s="16"/>
      <c r="M62" s="10"/>
      <c r="N62" s="10"/>
      <c r="O62" s="10"/>
      <c r="P62" s="10"/>
      <c r="Q62" s="304"/>
      <c r="R62" s="12"/>
      <c r="S62" s="12"/>
      <c r="T62" s="12"/>
      <c r="U62" s="12"/>
      <c r="V62" s="12"/>
      <c r="W62" s="12"/>
      <c r="X62" s="12"/>
    </row>
    <row r="63" spans="2:24" outlineLevel="1" x14ac:dyDescent="0.2">
      <c r="B63" s="14"/>
      <c r="C63" s="340"/>
      <c r="D63" s="14"/>
      <c r="E63" s="14"/>
      <c r="F63" s="14"/>
      <c r="G63" s="300"/>
      <c r="H63" s="10"/>
      <c r="I63" s="11"/>
      <c r="J63" s="11"/>
      <c r="K63" s="10"/>
      <c r="L63" s="16"/>
      <c r="M63" s="10"/>
      <c r="N63" s="10"/>
      <c r="O63" s="10"/>
      <c r="P63" s="10"/>
      <c r="Q63" s="304"/>
      <c r="R63" s="12"/>
      <c r="S63" s="12"/>
      <c r="T63" s="12"/>
      <c r="U63" s="12"/>
      <c r="V63" s="12"/>
      <c r="W63" s="12"/>
      <c r="X63" s="12"/>
    </row>
    <row r="64" spans="2:24" outlineLevel="1" x14ac:dyDescent="0.2">
      <c r="B64" s="14"/>
      <c r="C64" s="340"/>
      <c r="D64" s="14"/>
      <c r="E64" s="14"/>
      <c r="F64" s="14"/>
      <c r="G64" s="300"/>
      <c r="H64" s="10"/>
      <c r="I64" s="11"/>
      <c r="J64" s="11"/>
      <c r="K64" s="10"/>
      <c r="L64" s="16"/>
      <c r="M64" s="10"/>
      <c r="N64" s="10"/>
      <c r="O64" s="10"/>
      <c r="P64" s="10"/>
      <c r="Q64" s="304"/>
      <c r="R64" s="12"/>
      <c r="S64" s="12"/>
      <c r="T64" s="12"/>
      <c r="U64" s="12"/>
      <c r="V64" s="12"/>
      <c r="W64" s="12"/>
      <c r="X64" s="12"/>
    </row>
    <row r="65" spans="2:24" outlineLevel="1" x14ac:dyDescent="0.2">
      <c r="B65" s="14"/>
      <c r="C65" s="340"/>
      <c r="D65" s="14"/>
      <c r="E65" s="14"/>
      <c r="F65" s="14"/>
      <c r="G65" s="300"/>
      <c r="H65" s="10"/>
      <c r="I65" s="11"/>
      <c r="J65" s="11"/>
      <c r="K65" s="10"/>
      <c r="L65" s="16"/>
      <c r="M65" s="10"/>
      <c r="N65" s="10"/>
      <c r="O65" s="10"/>
      <c r="P65" s="10"/>
      <c r="Q65" s="304"/>
      <c r="R65" s="12"/>
      <c r="S65" s="12"/>
      <c r="T65" s="12"/>
      <c r="U65" s="12"/>
      <c r="V65" s="12"/>
      <c r="W65" s="12"/>
      <c r="X65" s="12"/>
    </row>
    <row r="66" spans="2:24" outlineLevel="1" x14ac:dyDescent="0.2">
      <c r="B66" s="14"/>
      <c r="C66" s="340"/>
      <c r="D66" s="14"/>
      <c r="E66" s="14"/>
      <c r="F66" s="14"/>
      <c r="G66" s="300"/>
      <c r="H66" s="10"/>
      <c r="I66" s="11"/>
      <c r="J66" s="11"/>
      <c r="K66" s="10"/>
      <c r="L66" s="16"/>
      <c r="M66" s="10"/>
      <c r="N66" s="10"/>
      <c r="O66" s="10"/>
      <c r="P66" s="10"/>
      <c r="Q66" s="304"/>
      <c r="R66" s="12"/>
      <c r="S66" s="12"/>
      <c r="T66" s="12"/>
      <c r="U66" s="12"/>
      <c r="V66" s="12"/>
      <c r="W66" s="12"/>
      <c r="X66" s="12"/>
    </row>
    <row r="67" spans="2:24" outlineLevel="1" x14ac:dyDescent="0.2">
      <c r="B67" s="14"/>
      <c r="C67" s="340"/>
      <c r="D67" s="14"/>
      <c r="E67" s="14"/>
      <c r="F67" s="14"/>
      <c r="G67" s="300"/>
      <c r="H67" s="10"/>
      <c r="I67" s="11"/>
      <c r="J67" s="11"/>
      <c r="K67" s="10"/>
      <c r="L67" s="16"/>
      <c r="M67" s="10"/>
      <c r="N67" s="10"/>
      <c r="O67" s="10"/>
      <c r="P67" s="10"/>
      <c r="Q67" s="304"/>
      <c r="R67" s="12"/>
      <c r="S67" s="12"/>
      <c r="T67" s="12"/>
      <c r="U67" s="12"/>
      <c r="V67" s="12"/>
      <c r="W67" s="12"/>
      <c r="X67" s="12"/>
    </row>
    <row r="68" spans="2:24" outlineLevel="1" x14ac:dyDescent="0.2">
      <c r="B68" s="14"/>
      <c r="C68" s="340"/>
      <c r="D68" s="14"/>
      <c r="E68" s="14"/>
      <c r="F68" s="14"/>
      <c r="G68" s="300"/>
      <c r="H68" s="10"/>
      <c r="I68" s="11"/>
      <c r="J68" s="11"/>
      <c r="K68" s="10"/>
      <c r="L68" s="16"/>
      <c r="M68" s="10"/>
      <c r="N68" s="10"/>
      <c r="O68" s="10"/>
      <c r="P68" s="10"/>
      <c r="Q68" s="304"/>
      <c r="R68" s="12"/>
      <c r="S68" s="12"/>
      <c r="T68" s="12"/>
      <c r="U68" s="12"/>
      <c r="V68" s="12"/>
      <c r="W68" s="12"/>
      <c r="X68" s="12"/>
    </row>
    <row r="69" spans="2:24" outlineLevel="1" x14ac:dyDescent="0.2">
      <c r="B69" s="14"/>
      <c r="C69" s="340"/>
      <c r="D69" s="14"/>
      <c r="E69" s="14"/>
      <c r="F69" s="14"/>
      <c r="G69" s="300"/>
      <c r="H69" s="10"/>
      <c r="I69" s="11"/>
      <c r="J69" s="11"/>
      <c r="K69" s="10"/>
      <c r="L69" s="16"/>
      <c r="M69" s="10"/>
      <c r="N69" s="10"/>
      <c r="O69" s="10"/>
      <c r="P69" s="10"/>
      <c r="Q69" s="304"/>
      <c r="R69" s="12"/>
      <c r="S69" s="12"/>
      <c r="T69" s="12"/>
      <c r="U69" s="12"/>
      <c r="V69" s="12"/>
      <c r="W69" s="12"/>
      <c r="X69" s="12"/>
    </row>
    <row r="70" spans="2:24" outlineLevel="1" x14ac:dyDescent="0.2">
      <c r="B70" s="14"/>
      <c r="C70" s="340"/>
      <c r="D70" s="14"/>
      <c r="E70" s="14"/>
      <c r="F70" s="14"/>
      <c r="G70" s="300"/>
      <c r="H70" s="10"/>
      <c r="I70" s="11"/>
      <c r="J70" s="11"/>
      <c r="K70" s="10"/>
      <c r="L70" s="16"/>
      <c r="M70" s="10"/>
      <c r="N70" s="10"/>
      <c r="O70" s="10"/>
      <c r="P70" s="10"/>
      <c r="Q70" s="304"/>
      <c r="R70" s="12"/>
      <c r="S70" s="12"/>
      <c r="T70" s="12"/>
      <c r="U70" s="12"/>
      <c r="V70" s="12"/>
      <c r="W70" s="12"/>
      <c r="X70" s="12"/>
    </row>
    <row r="71" spans="2:24" outlineLevel="1" x14ac:dyDescent="0.2">
      <c r="B71" s="14"/>
      <c r="C71" s="340"/>
      <c r="D71" s="14"/>
      <c r="E71" s="14"/>
      <c r="F71" s="14"/>
      <c r="G71" s="300"/>
      <c r="H71" s="10"/>
      <c r="I71" s="11"/>
      <c r="J71" s="11"/>
      <c r="K71" s="10"/>
      <c r="L71" s="16"/>
      <c r="M71" s="10"/>
      <c r="N71" s="10"/>
      <c r="O71" s="10"/>
      <c r="P71" s="10"/>
      <c r="Q71" s="304"/>
      <c r="R71" s="12"/>
      <c r="S71" s="12"/>
      <c r="T71" s="12"/>
      <c r="U71" s="12"/>
      <c r="V71" s="12"/>
      <c r="W71" s="12"/>
      <c r="X71" s="12"/>
    </row>
    <row r="72" spans="2:24" outlineLevel="1" x14ac:dyDescent="0.2">
      <c r="B72" s="14"/>
      <c r="C72" s="340"/>
      <c r="D72" s="14"/>
      <c r="E72" s="14"/>
      <c r="F72" s="14"/>
      <c r="G72" s="300"/>
      <c r="H72" s="10"/>
      <c r="I72" s="11"/>
      <c r="J72" s="11"/>
      <c r="K72" s="10"/>
      <c r="L72" s="16"/>
      <c r="M72" s="10"/>
      <c r="N72" s="10"/>
      <c r="O72" s="10"/>
      <c r="P72" s="10"/>
      <c r="Q72" s="304"/>
      <c r="R72" s="12"/>
      <c r="S72" s="12"/>
      <c r="T72" s="12"/>
      <c r="U72" s="12"/>
      <c r="V72" s="12"/>
      <c r="W72" s="12"/>
      <c r="X72" s="12"/>
    </row>
    <row r="73" spans="2:24" outlineLevel="1" x14ac:dyDescent="0.2">
      <c r="B73" s="14"/>
      <c r="C73" s="340"/>
      <c r="D73" s="14"/>
      <c r="E73" s="14"/>
      <c r="F73" s="14"/>
      <c r="G73" s="300"/>
      <c r="H73" s="10"/>
      <c r="I73" s="11"/>
      <c r="J73" s="11"/>
      <c r="K73" s="10"/>
      <c r="L73" s="16"/>
      <c r="M73" s="10"/>
      <c r="N73" s="10"/>
      <c r="O73" s="10"/>
      <c r="P73" s="10"/>
      <c r="Q73" s="304"/>
      <c r="R73" s="12"/>
      <c r="S73" s="12"/>
      <c r="T73" s="12"/>
      <c r="U73" s="12"/>
      <c r="V73" s="12"/>
      <c r="W73" s="12"/>
      <c r="X73" s="12"/>
    </row>
    <row r="74" spans="2:24" outlineLevel="1" x14ac:dyDescent="0.2">
      <c r="B74" s="14"/>
      <c r="C74" s="340"/>
      <c r="D74" s="14"/>
      <c r="E74" s="14"/>
      <c r="F74" s="14"/>
      <c r="G74" s="300"/>
      <c r="H74" s="10"/>
      <c r="I74" s="11"/>
      <c r="J74" s="11"/>
      <c r="K74" s="10"/>
      <c r="L74" s="16"/>
      <c r="M74" s="10"/>
      <c r="N74" s="10"/>
      <c r="O74" s="10"/>
      <c r="P74" s="10"/>
      <c r="Q74" s="304"/>
      <c r="R74" s="12"/>
      <c r="S74" s="12"/>
      <c r="T74" s="12"/>
      <c r="U74" s="12"/>
      <c r="V74" s="12"/>
      <c r="W74" s="12"/>
      <c r="X74" s="12"/>
    </row>
    <row r="75" spans="2:24" outlineLevel="1" x14ac:dyDescent="0.2">
      <c r="B75" s="14"/>
      <c r="C75" s="340"/>
      <c r="D75" s="14"/>
      <c r="E75" s="14"/>
      <c r="F75" s="14"/>
      <c r="G75" s="300"/>
      <c r="H75" s="10"/>
      <c r="I75" s="11"/>
      <c r="J75" s="11"/>
      <c r="K75" s="10"/>
      <c r="L75" s="16"/>
      <c r="M75" s="10"/>
      <c r="N75" s="10"/>
      <c r="O75" s="10"/>
      <c r="P75" s="10"/>
      <c r="Q75" s="304"/>
      <c r="R75" s="12"/>
      <c r="S75" s="12"/>
      <c r="T75" s="12"/>
      <c r="U75" s="12"/>
      <c r="V75" s="12"/>
      <c r="W75" s="12"/>
      <c r="X75" s="12"/>
    </row>
    <row r="76" spans="2:24" outlineLevel="1" x14ac:dyDescent="0.2">
      <c r="B76" s="14"/>
      <c r="C76" s="340"/>
      <c r="D76" s="14"/>
      <c r="E76" s="14"/>
      <c r="F76" s="14"/>
      <c r="G76" s="300"/>
      <c r="H76" s="10"/>
      <c r="I76" s="11"/>
      <c r="J76" s="11"/>
      <c r="K76" s="10"/>
      <c r="L76" s="16"/>
      <c r="M76" s="10"/>
      <c r="N76" s="10"/>
      <c r="O76" s="10"/>
      <c r="P76" s="10"/>
      <c r="Q76" s="304"/>
      <c r="R76" s="12"/>
      <c r="S76" s="12"/>
      <c r="T76" s="12"/>
      <c r="U76" s="12"/>
      <c r="V76" s="12"/>
      <c r="W76" s="12"/>
      <c r="X76" s="12"/>
    </row>
    <row r="77" spans="2:24" outlineLevel="1" x14ac:dyDescent="0.2">
      <c r="B77" s="14"/>
      <c r="C77" s="340"/>
      <c r="D77" s="14"/>
      <c r="E77" s="14"/>
      <c r="F77" s="14"/>
      <c r="G77" s="300"/>
      <c r="H77" s="10"/>
      <c r="I77" s="11"/>
      <c r="J77" s="11"/>
      <c r="K77" s="10"/>
      <c r="L77" s="16"/>
      <c r="M77" s="10"/>
      <c r="N77" s="10"/>
      <c r="O77" s="10"/>
      <c r="P77" s="10"/>
      <c r="Q77" s="304"/>
      <c r="R77" s="12"/>
      <c r="S77" s="12"/>
      <c r="T77" s="12"/>
      <c r="U77" s="12"/>
      <c r="V77" s="12"/>
      <c r="W77" s="12"/>
      <c r="X77" s="12"/>
    </row>
    <row r="78" spans="2:24" outlineLevel="1" x14ac:dyDescent="0.2">
      <c r="B78" s="14"/>
      <c r="C78" s="340"/>
      <c r="D78" s="14"/>
      <c r="E78" s="14"/>
      <c r="F78" s="14"/>
      <c r="G78" s="300"/>
      <c r="H78" s="10"/>
      <c r="I78" s="11"/>
      <c r="J78" s="11"/>
      <c r="K78" s="10"/>
      <c r="L78" s="16"/>
      <c r="M78" s="10"/>
      <c r="N78" s="10"/>
      <c r="O78" s="10"/>
      <c r="P78" s="10"/>
      <c r="Q78" s="304"/>
      <c r="R78" s="12"/>
      <c r="S78" s="12"/>
      <c r="T78" s="12"/>
      <c r="U78" s="12"/>
      <c r="V78" s="12"/>
      <c r="W78" s="12"/>
      <c r="X78" s="12"/>
    </row>
    <row r="79" spans="2:24" outlineLevel="1" x14ac:dyDescent="0.2">
      <c r="B79" s="14"/>
      <c r="C79" s="340"/>
      <c r="D79" s="14"/>
      <c r="E79" s="14"/>
      <c r="F79" s="14"/>
      <c r="G79" s="300"/>
      <c r="H79" s="10"/>
      <c r="I79" s="11"/>
      <c r="J79" s="11"/>
      <c r="K79" s="10"/>
      <c r="L79" s="16"/>
      <c r="M79" s="10"/>
      <c r="N79" s="10"/>
      <c r="O79" s="10"/>
      <c r="P79" s="10"/>
      <c r="Q79" s="304"/>
      <c r="R79" s="12"/>
      <c r="S79" s="12"/>
      <c r="T79" s="12"/>
      <c r="U79" s="12"/>
      <c r="V79" s="12"/>
      <c r="W79" s="12"/>
      <c r="X79" s="12"/>
    </row>
    <row r="80" spans="2:24" outlineLevel="1" x14ac:dyDescent="0.2">
      <c r="B80" s="14"/>
      <c r="C80" s="340"/>
      <c r="D80" s="14"/>
      <c r="E80" s="14"/>
      <c r="F80" s="14"/>
      <c r="G80" s="300"/>
      <c r="H80" s="10"/>
      <c r="I80" s="11"/>
      <c r="J80" s="11"/>
      <c r="K80" s="10"/>
      <c r="L80" s="16"/>
      <c r="M80" s="10"/>
      <c r="N80" s="10"/>
      <c r="O80" s="10"/>
      <c r="P80" s="10"/>
      <c r="Q80" s="304"/>
      <c r="R80" s="12"/>
      <c r="S80" s="12"/>
      <c r="T80" s="12"/>
      <c r="U80" s="12"/>
      <c r="V80" s="12"/>
      <c r="W80" s="12"/>
      <c r="X80" s="12"/>
    </row>
    <row r="81" spans="2:24" outlineLevel="1" x14ac:dyDescent="0.2">
      <c r="B81" s="14"/>
      <c r="C81" s="340"/>
      <c r="D81" s="14"/>
      <c r="E81" s="14"/>
      <c r="F81" s="14"/>
      <c r="G81" s="300"/>
      <c r="H81" s="10"/>
      <c r="I81" s="11"/>
      <c r="J81" s="11"/>
      <c r="K81" s="10"/>
      <c r="L81" s="16"/>
      <c r="M81" s="10"/>
      <c r="N81" s="10"/>
      <c r="O81" s="10"/>
      <c r="P81" s="10"/>
      <c r="Q81" s="304"/>
      <c r="R81" s="12"/>
      <c r="S81" s="12"/>
      <c r="T81" s="12"/>
      <c r="U81" s="12"/>
      <c r="V81" s="12"/>
      <c r="W81" s="12"/>
      <c r="X81" s="12"/>
    </row>
    <row r="82" spans="2:24" outlineLevel="1" x14ac:dyDescent="0.2">
      <c r="B82" s="14"/>
      <c r="C82" s="340"/>
      <c r="D82" s="14"/>
      <c r="E82" s="14"/>
      <c r="F82" s="14"/>
      <c r="G82" s="300"/>
      <c r="H82" s="10"/>
      <c r="I82" s="11"/>
      <c r="J82" s="11"/>
      <c r="K82" s="10"/>
      <c r="L82" s="16"/>
      <c r="M82" s="10"/>
      <c r="N82" s="10"/>
      <c r="O82" s="10"/>
      <c r="P82" s="10"/>
      <c r="Q82" s="304"/>
      <c r="R82" s="12"/>
      <c r="S82" s="12"/>
      <c r="T82" s="12"/>
      <c r="U82" s="12"/>
      <c r="V82" s="12"/>
      <c r="W82" s="12"/>
      <c r="X82" s="12"/>
    </row>
    <row r="83" spans="2:24" outlineLevel="1" x14ac:dyDescent="0.2">
      <c r="B83" s="14"/>
      <c r="C83" s="340"/>
      <c r="D83" s="14"/>
      <c r="E83" s="14"/>
      <c r="F83" s="14"/>
      <c r="G83" s="300"/>
      <c r="H83" s="10"/>
      <c r="I83" s="11"/>
      <c r="J83" s="11"/>
      <c r="K83" s="10"/>
      <c r="L83" s="16"/>
      <c r="M83" s="10"/>
      <c r="N83" s="10"/>
      <c r="O83" s="10"/>
      <c r="P83" s="10"/>
      <c r="Q83" s="304"/>
      <c r="R83" s="12"/>
      <c r="S83" s="12"/>
      <c r="T83" s="12"/>
      <c r="U83" s="12"/>
      <c r="V83" s="12"/>
      <c r="W83" s="12"/>
      <c r="X83" s="12"/>
    </row>
    <row r="84" spans="2:24" outlineLevel="1" x14ac:dyDescent="0.2">
      <c r="B84" s="14"/>
      <c r="C84" s="340"/>
      <c r="D84" s="14"/>
      <c r="E84" s="14"/>
      <c r="F84" s="14"/>
      <c r="G84" s="300"/>
      <c r="H84" s="10"/>
      <c r="I84" s="11"/>
      <c r="J84" s="11"/>
      <c r="K84" s="10"/>
      <c r="L84" s="16"/>
      <c r="M84" s="10"/>
      <c r="N84" s="10"/>
      <c r="O84" s="10"/>
      <c r="P84" s="10"/>
      <c r="Q84" s="304"/>
      <c r="R84" s="12"/>
      <c r="S84" s="12"/>
      <c r="T84" s="12"/>
      <c r="U84" s="12"/>
      <c r="V84" s="12"/>
      <c r="W84" s="12"/>
      <c r="X84" s="12"/>
    </row>
    <row r="85" spans="2:24" outlineLevel="1" x14ac:dyDescent="0.2">
      <c r="B85" s="14"/>
      <c r="C85" s="340"/>
      <c r="D85" s="14"/>
      <c r="E85" s="14"/>
      <c r="F85" s="14"/>
      <c r="G85" s="300"/>
      <c r="H85" s="10"/>
      <c r="I85" s="11"/>
      <c r="J85" s="11"/>
      <c r="K85" s="10"/>
      <c r="L85" s="16"/>
      <c r="M85" s="10"/>
      <c r="N85" s="10"/>
      <c r="O85" s="10"/>
      <c r="P85" s="10"/>
      <c r="Q85" s="304"/>
      <c r="R85" s="12"/>
      <c r="S85" s="12"/>
      <c r="T85" s="12"/>
      <c r="U85" s="12"/>
      <c r="V85" s="12"/>
      <c r="W85" s="12"/>
      <c r="X85" s="12"/>
    </row>
    <row r="86" spans="2:24" outlineLevel="1" x14ac:dyDescent="0.2">
      <c r="B86" s="14"/>
      <c r="C86" s="342"/>
      <c r="D86" s="15"/>
      <c r="E86" s="15"/>
      <c r="F86" s="14"/>
      <c r="G86" s="300"/>
      <c r="H86" s="10"/>
      <c r="I86" s="11"/>
      <c r="J86" s="11"/>
      <c r="K86" s="10"/>
      <c r="L86" s="16"/>
      <c r="M86" s="10"/>
      <c r="N86" s="10"/>
      <c r="O86" s="10"/>
      <c r="P86" s="10"/>
      <c r="Q86" s="304"/>
      <c r="R86" s="12"/>
      <c r="S86" s="12"/>
      <c r="T86" s="12"/>
      <c r="U86" s="12"/>
      <c r="V86" s="12"/>
      <c r="W86" s="12"/>
      <c r="X86" s="12"/>
    </row>
    <row r="87" spans="2:24" outlineLevel="1" x14ac:dyDescent="0.2">
      <c r="B87" s="14"/>
      <c r="C87" s="342"/>
      <c r="D87" s="15"/>
      <c r="E87" s="15"/>
      <c r="F87" s="14"/>
      <c r="G87" s="300"/>
      <c r="H87" s="10"/>
      <c r="I87" s="11"/>
      <c r="J87" s="11"/>
      <c r="K87" s="10"/>
      <c r="L87" s="16"/>
      <c r="M87" s="10"/>
      <c r="N87" s="10"/>
      <c r="O87" s="10"/>
      <c r="P87" s="10"/>
      <c r="Q87" s="304"/>
      <c r="R87" s="12"/>
      <c r="S87" s="12"/>
      <c r="T87" s="12"/>
      <c r="U87" s="12"/>
      <c r="V87" s="12"/>
      <c r="W87" s="12"/>
      <c r="X87" s="12"/>
    </row>
    <row r="88" spans="2:24" outlineLevel="1" x14ac:dyDescent="0.2">
      <c r="B88" s="14"/>
      <c r="C88" s="342"/>
      <c r="D88" s="15"/>
      <c r="E88" s="15"/>
      <c r="F88" s="14"/>
      <c r="G88" s="300"/>
      <c r="H88" s="10"/>
      <c r="I88" s="11"/>
      <c r="J88" s="11"/>
      <c r="K88" s="10"/>
      <c r="L88" s="16"/>
      <c r="M88" s="10"/>
      <c r="N88" s="10"/>
      <c r="O88" s="10"/>
      <c r="P88" s="10"/>
      <c r="Q88" s="304"/>
      <c r="R88" s="12"/>
      <c r="S88" s="12"/>
      <c r="T88" s="12"/>
      <c r="U88" s="12"/>
      <c r="V88" s="12"/>
      <c r="W88" s="12"/>
      <c r="X88" s="12"/>
    </row>
    <row r="89" spans="2:24" outlineLevel="1" x14ac:dyDescent="0.2">
      <c r="B89" s="14"/>
      <c r="C89" s="342"/>
      <c r="D89" s="15"/>
      <c r="E89" s="15"/>
      <c r="F89" s="14"/>
      <c r="G89" s="300"/>
      <c r="H89" s="10"/>
      <c r="I89" s="11"/>
      <c r="J89" s="11"/>
      <c r="K89" s="10"/>
      <c r="L89" s="16"/>
      <c r="M89" s="10"/>
      <c r="N89" s="10"/>
      <c r="O89" s="10"/>
      <c r="P89" s="10"/>
      <c r="Q89" s="304"/>
      <c r="R89" s="12"/>
      <c r="S89" s="12"/>
      <c r="T89" s="12"/>
      <c r="U89" s="12"/>
      <c r="V89" s="12"/>
      <c r="W89" s="12"/>
      <c r="X89" s="12"/>
    </row>
    <row r="90" spans="2:24" outlineLevel="1" x14ac:dyDescent="0.2">
      <c r="B90" s="14"/>
      <c r="C90" s="342"/>
      <c r="D90" s="15"/>
      <c r="E90" s="15"/>
      <c r="F90" s="14"/>
      <c r="G90" s="300"/>
      <c r="H90" s="10"/>
      <c r="I90" s="11"/>
      <c r="J90" s="11"/>
      <c r="K90" s="10"/>
      <c r="L90" s="16"/>
      <c r="M90" s="10"/>
      <c r="N90" s="10"/>
      <c r="O90" s="10"/>
      <c r="P90" s="10"/>
      <c r="Q90" s="304"/>
      <c r="R90" s="12"/>
      <c r="S90" s="12"/>
      <c r="T90" s="12"/>
      <c r="U90" s="12"/>
      <c r="V90" s="12"/>
      <c r="W90" s="12"/>
      <c r="X90" s="12"/>
    </row>
    <row r="91" spans="2:24" outlineLevel="1" x14ac:dyDescent="0.2">
      <c r="B91" s="14"/>
      <c r="C91" s="342"/>
      <c r="D91" s="15"/>
      <c r="E91" s="15"/>
      <c r="F91" s="14"/>
      <c r="G91" s="300"/>
      <c r="H91" s="10"/>
      <c r="I91" s="11"/>
      <c r="J91" s="11"/>
      <c r="K91" s="10"/>
      <c r="L91" s="16"/>
      <c r="M91" s="10"/>
      <c r="N91" s="10"/>
      <c r="O91" s="10"/>
      <c r="P91" s="10"/>
      <c r="Q91" s="304"/>
      <c r="R91" s="12"/>
      <c r="S91" s="12"/>
      <c r="T91" s="12"/>
      <c r="U91" s="12"/>
      <c r="V91" s="12"/>
      <c r="W91" s="12"/>
      <c r="X91" s="12"/>
    </row>
    <row r="92" spans="2:24" outlineLevel="1" x14ac:dyDescent="0.2">
      <c r="B92" s="14"/>
      <c r="C92" s="342"/>
      <c r="D92" s="15"/>
      <c r="E92" s="15"/>
      <c r="F92" s="14"/>
      <c r="G92" s="300"/>
      <c r="H92" s="10"/>
      <c r="I92" s="11"/>
      <c r="J92" s="11"/>
      <c r="K92" s="10"/>
      <c r="L92" s="16"/>
      <c r="M92" s="10"/>
      <c r="N92" s="10"/>
      <c r="O92" s="10"/>
      <c r="P92" s="10"/>
      <c r="Q92" s="304"/>
      <c r="R92" s="12"/>
      <c r="S92" s="12"/>
      <c r="T92" s="12"/>
      <c r="U92" s="12"/>
      <c r="V92" s="12"/>
      <c r="W92" s="12"/>
      <c r="X92" s="12"/>
    </row>
    <row r="93" spans="2:24" outlineLevel="1" x14ac:dyDescent="0.2">
      <c r="B93" s="14"/>
      <c r="C93" s="342"/>
      <c r="D93" s="15"/>
      <c r="E93" s="15"/>
      <c r="F93" s="14"/>
      <c r="G93" s="300"/>
      <c r="H93" s="10"/>
      <c r="I93" s="11"/>
      <c r="J93" s="11"/>
      <c r="K93" s="10"/>
      <c r="L93" s="16"/>
      <c r="M93" s="10"/>
      <c r="N93" s="10"/>
      <c r="O93" s="10"/>
      <c r="P93" s="10"/>
      <c r="Q93" s="304"/>
      <c r="R93" s="12"/>
      <c r="S93" s="12"/>
      <c r="T93" s="12"/>
      <c r="U93" s="12"/>
      <c r="V93" s="12"/>
      <c r="W93" s="12"/>
      <c r="X93" s="12"/>
    </row>
    <row r="94" spans="2:24" outlineLevel="1" x14ac:dyDescent="0.2">
      <c r="B94" s="14"/>
      <c r="C94" s="342"/>
      <c r="D94" s="15"/>
      <c r="E94" s="15"/>
      <c r="F94" s="14"/>
      <c r="G94" s="300"/>
      <c r="H94" s="10"/>
      <c r="I94" s="11"/>
      <c r="J94" s="11"/>
      <c r="K94" s="10"/>
      <c r="L94" s="16"/>
      <c r="M94" s="10"/>
      <c r="N94" s="10"/>
      <c r="O94" s="10"/>
      <c r="P94" s="10"/>
      <c r="Q94" s="304"/>
      <c r="R94" s="12"/>
      <c r="S94" s="12"/>
      <c r="T94" s="12"/>
      <c r="U94" s="12"/>
      <c r="V94" s="12"/>
      <c r="W94" s="12"/>
      <c r="X94" s="12"/>
    </row>
    <row r="95" spans="2:24" outlineLevel="1" x14ac:dyDescent="0.2">
      <c r="B95" s="14"/>
      <c r="C95" s="342"/>
      <c r="D95" s="15"/>
      <c r="E95" s="15"/>
      <c r="F95" s="14"/>
      <c r="G95" s="300"/>
      <c r="H95" s="10"/>
      <c r="I95" s="11"/>
      <c r="J95" s="11"/>
      <c r="K95" s="10"/>
      <c r="L95" s="16"/>
      <c r="M95" s="10"/>
      <c r="N95" s="10"/>
      <c r="O95" s="10"/>
      <c r="P95" s="10"/>
      <c r="Q95" s="304"/>
      <c r="R95" s="12"/>
      <c r="S95" s="12"/>
      <c r="T95" s="12"/>
      <c r="U95" s="12"/>
      <c r="V95" s="12"/>
      <c r="W95" s="12"/>
      <c r="X95" s="12"/>
    </row>
    <row r="96" spans="2:24" outlineLevel="1" x14ac:dyDescent="0.2">
      <c r="B96" s="14"/>
      <c r="C96" s="342"/>
      <c r="D96" s="15"/>
      <c r="E96" s="15"/>
      <c r="F96" s="14"/>
      <c r="G96" s="300"/>
      <c r="H96" s="10"/>
      <c r="I96" s="11"/>
      <c r="J96" s="11"/>
      <c r="K96" s="10"/>
      <c r="L96" s="16"/>
      <c r="M96" s="10"/>
      <c r="N96" s="10"/>
      <c r="O96" s="10"/>
      <c r="P96" s="10"/>
      <c r="Q96" s="304"/>
      <c r="R96" s="12"/>
      <c r="S96" s="12"/>
      <c r="T96" s="12"/>
      <c r="U96" s="12"/>
      <c r="V96" s="12"/>
      <c r="W96" s="12"/>
      <c r="X96" s="12"/>
    </row>
    <row r="97" spans="1:24" outlineLevel="2" x14ac:dyDescent="0.2">
      <c r="B97" s="14"/>
      <c r="C97" s="340"/>
      <c r="D97" s="282"/>
      <c r="E97" s="282"/>
      <c r="F97" s="14"/>
      <c r="G97" s="175"/>
      <c r="H97" s="10"/>
      <c r="I97" s="175"/>
      <c r="J97" s="175"/>
      <c r="K97" s="10"/>
      <c r="L97" s="14"/>
    </row>
    <row r="98" spans="1:24" ht="17" thickBot="1" x14ac:dyDescent="0.25">
      <c r="A98" s="23"/>
      <c r="B98" s="39"/>
      <c r="C98" s="339"/>
      <c r="D98" s="25"/>
      <c r="E98" s="25"/>
      <c r="F98" s="39"/>
      <c r="G98" s="39"/>
      <c r="H98" s="39"/>
      <c r="I98" s="39"/>
      <c r="J98" s="39"/>
      <c r="K98" s="23"/>
      <c r="L98" s="39"/>
      <c r="M98" s="23"/>
      <c r="N98" s="23"/>
      <c r="O98" s="23"/>
      <c r="P98" s="23"/>
      <c r="Q98" s="39"/>
      <c r="R98" s="23"/>
      <c r="S98" s="23"/>
      <c r="T98" s="23"/>
      <c r="U98" s="23"/>
      <c r="V98" s="23"/>
      <c r="W98" s="23"/>
      <c r="X98" s="23"/>
    </row>
    <row r="99" spans="1:24" x14ac:dyDescent="0.2">
      <c r="B99" s="34" t="s">
        <v>741</v>
      </c>
      <c r="C99" s="343"/>
      <c r="D99" s="285"/>
      <c r="E99" s="284" t="str">
        <f>IF(SUM(E25,E59,E97)&gt;0,SUM(E25,E59,E97),"")</f>
        <v/>
      </c>
      <c r="F99" s="38">
        <f>SUM(F7:F98)</f>
        <v>19</v>
      </c>
      <c r="G99" s="38"/>
      <c r="H99" s="38">
        <f>SUM(H7:H98)</f>
        <v>451978.31421899982</v>
      </c>
      <c r="I99" s="38">
        <f>SUM(I7:I98)</f>
        <v>3000</v>
      </c>
      <c r="J99" s="38">
        <f>SUM(J7:J98)</f>
        <v>0</v>
      </c>
      <c r="K99" s="38">
        <f>SUM(K7:K98)</f>
        <v>454978.31421899982</v>
      </c>
      <c r="M99" s="38">
        <f t="shared" ref="M99:X99" si="17">SUM(M7:M98)</f>
        <v>48490.505930657702</v>
      </c>
      <c r="N99" s="38">
        <f t="shared" si="17"/>
        <v>0</v>
      </c>
      <c r="O99" s="38">
        <f t="shared" si="17"/>
        <v>7433.6732549999997</v>
      </c>
      <c r="P99" s="38">
        <f t="shared" si="17"/>
        <v>6597.1855561755001</v>
      </c>
      <c r="Q99" s="38">
        <f t="shared" si="17"/>
        <v>9500</v>
      </c>
      <c r="R99" s="38">
        <f t="shared" si="17"/>
        <v>81000</v>
      </c>
      <c r="S99" s="38">
        <f t="shared" si="17"/>
        <v>9099.5662843800001</v>
      </c>
      <c r="T99" s="38">
        <f t="shared" si="17"/>
        <v>5459.7397706279999</v>
      </c>
      <c r="U99" s="38">
        <f t="shared" si="17"/>
        <v>0</v>
      </c>
      <c r="V99" s="38">
        <f t="shared" si="17"/>
        <v>0</v>
      </c>
      <c r="W99" s="38">
        <f t="shared" si="17"/>
        <v>158080.67079684118</v>
      </c>
      <c r="X99" s="38">
        <f t="shared" si="17"/>
        <v>613058.9850158412</v>
      </c>
    </row>
    <row r="101" spans="1:24" x14ac:dyDescent="0.2">
      <c r="B101" s="34" t="s">
        <v>745</v>
      </c>
      <c r="F101" s="38">
        <f>SUMIF($B:$B,1100,F:F)</f>
        <v>5</v>
      </c>
      <c r="G101" s="38"/>
      <c r="H101" s="38">
        <f>SUMIF($B:$B,1100,H:H)</f>
        <v>259910.64423899999</v>
      </c>
      <c r="I101" s="38">
        <f>SUMIF($B:$B,1100,I:I)</f>
        <v>1500</v>
      </c>
      <c r="J101" s="38">
        <f>SUMIF($B:$B,1100,J:J)</f>
        <v>0</v>
      </c>
      <c r="K101" s="38">
        <f>SUMIF($B:$B,1100,K:K)</f>
        <v>261410.64423899999</v>
      </c>
      <c r="M101" s="38">
        <f t="shared" ref="M101:X101" si="18">SUMIF($B:$B,1100,M:M)</f>
        <v>37721.555963687701</v>
      </c>
      <c r="N101" s="38">
        <f t="shared" si="18"/>
        <v>0</v>
      </c>
      <c r="O101" s="38">
        <f t="shared" si="18"/>
        <v>0</v>
      </c>
      <c r="P101" s="38">
        <f t="shared" si="18"/>
        <v>3790.4543414655</v>
      </c>
      <c r="Q101" s="38">
        <f t="shared" si="18"/>
        <v>2500</v>
      </c>
      <c r="R101" s="38">
        <f t="shared" si="18"/>
        <v>62100</v>
      </c>
      <c r="S101" s="38">
        <f t="shared" si="18"/>
        <v>5228.2128847799995</v>
      </c>
      <c r="T101" s="38">
        <f t="shared" si="18"/>
        <v>3136.9277308679998</v>
      </c>
      <c r="U101" s="38">
        <f t="shared" si="18"/>
        <v>0</v>
      </c>
      <c r="V101" s="38">
        <f t="shared" si="18"/>
        <v>0</v>
      </c>
      <c r="W101" s="38">
        <f t="shared" si="18"/>
        <v>111977.15092080118</v>
      </c>
      <c r="X101" s="38">
        <f t="shared" si="18"/>
        <v>373387.7951598012</v>
      </c>
    </row>
  </sheetData>
  <pageMargins left="0.25" right="0.25" top="0.25" bottom="0.25" header="0.3" footer="0.3"/>
  <pageSetup scale="75" fitToWidth="2"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pageSetUpPr fitToPage="1"/>
  </sheetPr>
  <dimension ref="A1:X173"/>
  <sheetViews>
    <sheetView workbookViewId="0">
      <pane xSplit="3" ySplit="6" topLeftCell="D7"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7.83203125" style="95" customWidth="1"/>
    <col min="19" max="19" width="10.33203125" style="1" bestFit="1" customWidth="1"/>
    <col min="20" max="24" width="11.5" style="1" customWidth="1"/>
    <col min="25"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20" ht="20" x14ac:dyDescent="0.2">
      <c r="A1" s="22" t="str">
        <f>'Student Info'!$A$1</f>
        <v>Three Rivers Charter School</v>
      </c>
      <c r="D1" s="181" t="s">
        <v>920</v>
      </c>
    </row>
    <row r="2" spans="1:20" ht="18" x14ac:dyDescent="0.2">
      <c r="A2" s="21" t="s">
        <v>804</v>
      </c>
      <c r="D2" s="181" t="s">
        <v>919</v>
      </c>
    </row>
    <row r="3" spans="1:20" ht="18" x14ac:dyDescent="0.2">
      <c r="A3" s="21" t="str">
        <f>'Cash Flow $s Yr5'!A3</f>
        <v>2019-20</v>
      </c>
    </row>
    <row r="5" spans="1:20" ht="18" x14ac:dyDescent="0.2">
      <c r="A5" s="29"/>
      <c r="B5" s="41"/>
      <c r="C5" s="29"/>
      <c r="D5" s="96"/>
      <c r="E5" s="96"/>
      <c r="F5" s="96"/>
      <c r="G5" s="96"/>
      <c r="H5" s="96"/>
      <c r="I5" s="96"/>
      <c r="J5" s="96"/>
      <c r="K5" s="96"/>
      <c r="L5" s="96"/>
      <c r="M5" s="96"/>
      <c r="N5" s="96"/>
      <c r="O5" s="96"/>
      <c r="P5" s="96"/>
      <c r="Q5" s="96"/>
      <c r="R5" s="96"/>
    </row>
    <row r="6" spans="1:20"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20" ht="18" x14ac:dyDescent="0.2">
      <c r="A7" s="47" t="s">
        <v>794</v>
      </c>
      <c r="B7" s="87"/>
      <c r="D7" s="31"/>
      <c r="F7" s="97"/>
      <c r="G7" s="97"/>
      <c r="H7" s="97"/>
      <c r="I7" s="31"/>
      <c r="J7" s="31"/>
      <c r="K7" s="97"/>
      <c r="L7" s="97"/>
      <c r="M7" s="97"/>
      <c r="N7" s="97"/>
      <c r="O7" s="97"/>
      <c r="P7" s="97"/>
      <c r="Q7" s="97"/>
      <c r="R7" s="97"/>
    </row>
    <row r="8" spans="1:20" ht="18" hidden="1" x14ac:dyDescent="0.2">
      <c r="A8" s="47"/>
      <c r="B8" s="87"/>
      <c r="C8" s="109" t="s">
        <v>817</v>
      </c>
      <c r="D8" s="110" t="s">
        <v>782</v>
      </c>
      <c r="F8" s="97"/>
      <c r="G8" s="97"/>
      <c r="H8" s="97"/>
      <c r="I8" s="31"/>
      <c r="J8" s="31"/>
      <c r="K8" s="97"/>
      <c r="L8" s="97"/>
      <c r="M8" s="97"/>
      <c r="N8" s="97"/>
      <c r="O8" s="97"/>
      <c r="P8" s="97"/>
      <c r="Q8" s="97"/>
      <c r="R8" s="97"/>
    </row>
    <row r="9" spans="1:20" ht="18" x14ac:dyDescent="0.2">
      <c r="A9" s="47"/>
      <c r="B9" s="87"/>
      <c r="C9" s="89" t="s">
        <v>818</v>
      </c>
      <c r="D9" s="115">
        <f>'Cash Flow %s Yr4'!D9</f>
        <v>0</v>
      </c>
      <c r="E9" s="115">
        <f>'Cash Flow %s Yr4'!E9</f>
        <v>0.05</v>
      </c>
      <c r="F9" s="115">
        <f>'Cash Flow %s Yr4'!F9</f>
        <v>0.05</v>
      </c>
      <c r="G9" s="115">
        <f>'Cash Flow %s Yr4'!G9</f>
        <v>0.09</v>
      </c>
      <c r="H9" s="115">
        <f>'Cash Flow %s Yr4'!H9</f>
        <v>0.09</v>
      </c>
      <c r="I9" s="115">
        <f>'Cash Flow %s Yr4'!I9</f>
        <v>0.09</v>
      </c>
      <c r="J9" s="115">
        <f>'Cash Flow %s Yr4'!J9</f>
        <v>0.09</v>
      </c>
      <c r="K9" s="115">
        <f>'Cash Flow %s Yr4'!K9</f>
        <v>0.09</v>
      </c>
      <c r="L9" s="115">
        <f>'Cash Flow %s Yr4'!L9</f>
        <v>0.09</v>
      </c>
      <c r="M9" s="115">
        <f>'Cash Flow %s Yr4'!M9</f>
        <v>0.09</v>
      </c>
      <c r="N9" s="115">
        <f>'Cash Flow %s Yr4'!N9</f>
        <v>0.09</v>
      </c>
      <c r="O9" s="115">
        <f>'Cash Flow %s Yr4'!O9</f>
        <v>0.09</v>
      </c>
      <c r="P9" s="115">
        <f>'Cash Flow %s Yr4'!P9</f>
        <v>0.09</v>
      </c>
      <c r="Q9" s="115">
        <f>'Cash Flow %s Yr4'!Q9</f>
        <v>0</v>
      </c>
      <c r="R9" s="115">
        <f>'Cash Flow %s Yr4'!R9</f>
        <v>0</v>
      </c>
      <c r="S9" s="111">
        <f>SUM(D9:R9)</f>
        <v>0.99999999999999978</v>
      </c>
      <c r="T9" s="1" t="str">
        <f>'Cash Flow %s Yr4'!T9</f>
        <v>estimate based on January 2013 Governor's budget</v>
      </c>
    </row>
    <row r="10" spans="1:20" ht="18" hidden="1" x14ac:dyDescent="0.2">
      <c r="A10" s="47"/>
      <c r="B10" s="87"/>
      <c r="C10" s="89" t="s">
        <v>819</v>
      </c>
      <c r="D10" s="115">
        <f>'Cash Flow %s Yr4'!D10</f>
        <v>0</v>
      </c>
      <c r="E10" s="115">
        <f>'Cash Flow %s Yr4'!E10</f>
        <v>0</v>
      </c>
      <c r="F10" s="115">
        <f>'Cash Flow %s Yr4'!F10</f>
        <v>0</v>
      </c>
      <c r="G10" s="115">
        <f>'Cash Flow %s Yr4'!G10</f>
        <v>0.3478</v>
      </c>
      <c r="H10" s="115">
        <f>'Cash Flow %s Yr4'!H10</f>
        <v>0</v>
      </c>
      <c r="I10" s="115">
        <f>'Cash Flow %s Yr4'!I10</f>
        <v>0</v>
      </c>
      <c r="J10" s="115">
        <f>'Cash Flow %s Yr4'!J10</f>
        <v>0.16919999999999999</v>
      </c>
      <c r="K10" s="115">
        <f>'Cash Flow %s Yr4'!K10</f>
        <v>0</v>
      </c>
      <c r="L10" s="115">
        <f>'Cash Flow %s Yr4'!L10</f>
        <v>0.09</v>
      </c>
      <c r="M10" s="115">
        <f>'Cash Flow %s Yr4'!M10</f>
        <v>0.09</v>
      </c>
      <c r="N10" s="115">
        <f>'Cash Flow %s Yr4'!N10</f>
        <v>0.09</v>
      </c>
      <c r="O10" s="115">
        <f>'Cash Flow %s Yr4'!O10</f>
        <v>0.09</v>
      </c>
      <c r="P10" s="115">
        <f>'Cash Flow %s Yr4'!P10</f>
        <v>0.06</v>
      </c>
      <c r="Q10" s="115">
        <f>'Cash Flow %s Yr4'!Q10</f>
        <v>0.03</v>
      </c>
      <c r="R10" s="115">
        <f>'Cash Flow %s Yr4'!R10</f>
        <v>0</v>
      </c>
      <c r="S10" s="111">
        <f>SUM(D10:R10)</f>
        <v>0.96699999999999986</v>
      </c>
      <c r="T10" s="1">
        <f>'Cash Flow %s Yr4'!T10</f>
        <v>0</v>
      </c>
    </row>
    <row r="11" spans="1:20" s="31" customFormat="1" ht="18" x14ac:dyDescent="0.2">
      <c r="B11" s="70" t="s">
        <v>779</v>
      </c>
      <c r="C11" s="49"/>
      <c r="D11" s="222"/>
      <c r="E11" s="222"/>
      <c r="F11" s="222"/>
      <c r="G11" s="222"/>
      <c r="H11" s="222"/>
      <c r="I11" s="222"/>
      <c r="J11" s="222"/>
      <c r="K11" s="222"/>
      <c r="L11" s="222"/>
      <c r="M11" s="222"/>
      <c r="N11" s="222"/>
      <c r="O11" s="222"/>
      <c r="P11" s="222"/>
      <c r="Q11" s="222"/>
      <c r="R11" s="222"/>
      <c r="S11" s="111"/>
    </row>
    <row r="12" spans="1:20" s="31" customFormat="1" x14ac:dyDescent="0.2">
      <c r="A12" s="50"/>
      <c r="B12" s="65" t="str">
        <f>'Revenue Input'!B8</f>
        <v>8011</v>
      </c>
      <c r="C12" s="65" t="str">
        <f>'Revenue Input'!C8</f>
        <v>LCFF for all grades; state aid portion</v>
      </c>
      <c r="D12" s="115">
        <f>D$9</f>
        <v>0</v>
      </c>
      <c r="E12" s="115">
        <f t="shared" ref="E12:R12" si="0">E$9</f>
        <v>0.05</v>
      </c>
      <c r="F12" s="115">
        <f t="shared" si="0"/>
        <v>0.05</v>
      </c>
      <c r="G12" s="115">
        <f t="shared" si="0"/>
        <v>0.09</v>
      </c>
      <c r="H12" s="115">
        <f t="shared" si="0"/>
        <v>0.09</v>
      </c>
      <c r="I12" s="115">
        <f t="shared" si="0"/>
        <v>0.09</v>
      </c>
      <c r="J12" s="115">
        <f t="shared" si="0"/>
        <v>0.09</v>
      </c>
      <c r="K12" s="115">
        <f t="shared" si="0"/>
        <v>0.09</v>
      </c>
      <c r="L12" s="115">
        <f t="shared" si="0"/>
        <v>0.09</v>
      </c>
      <c r="M12" s="115">
        <f t="shared" si="0"/>
        <v>0.09</v>
      </c>
      <c r="N12" s="115">
        <f t="shared" si="0"/>
        <v>0.09</v>
      </c>
      <c r="O12" s="115">
        <f t="shared" si="0"/>
        <v>0.09</v>
      </c>
      <c r="P12" s="115">
        <f t="shared" si="0"/>
        <v>0.09</v>
      </c>
      <c r="Q12" s="115">
        <f t="shared" si="0"/>
        <v>0</v>
      </c>
      <c r="R12" s="115">
        <f t="shared" si="0"/>
        <v>0</v>
      </c>
      <c r="S12" s="111">
        <f t="shared" ref="S12:S22" si="1">SUM(D12:R12)</f>
        <v>0.99999999999999978</v>
      </c>
    </row>
    <row r="13" spans="1:20" s="31" customFormat="1" x14ac:dyDescent="0.2">
      <c r="A13" s="50"/>
      <c r="B13" s="65" t="str">
        <f>'Revenue Input'!B9</f>
        <v>8012</v>
      </c>
      <c r="C13" s="65" t="str">
        <f>'Revenue Input'!C9</f>
        <v>LCFF for all grades; EPA portion</v>
      </c>
      <c r="D13" s="220">
        <v>0</v>
      </c>
      <c r="E13" s="220">
        <v>0</v>
      </c>
      <c r="F13" s="220">
        <v>0</v>
      </c>
      <c r="G13" s="220">
        <v>0.25</v>
      </c>
      <c r="H13" s="220">
        <v>0</v>
      </c>
      <c r="I13" s="220">
        <v>0</v>
      </c>
      <c r="J13" s="220">
        <v>0.25</v>
      </c>
      <c r="K13" s="220">
        <v>0</v>
      </c>
      <c r="L13" s="220">
        <v>0</v>
      </c>
      <c r="M13" s="220">
        <v>0.25</v>
      </c>
      <c r="N13" s="220">
        <v>0</v>
      </c>
      <c r="O13" s="220">
        <v>0</v>
      </c>
      <c r="P13" s="220">
        <v>0.25</v>
      </c>
      <c r="Q13" s="220">
        <v>0</v>
      </c>
      <c r="R13" s="220">
        <v>0</v>
      </c>
      <c r="S13" s="111">
        <f t="shared" si="1"/>
        <v>1</v>
      </c>
    </row>
    <row r="14" spans="1:20" s="31" customFormat="1" x14ac:dyDescent="0.2">
      <c r="A14" s="50"/>
      <c r="B14" s="65" t="str">
        <f>'Revenue Input'!B10</f>
        <v>8096</v>
      </c>
      <c r="C14" s="65" t="str">
        <f>'Revenue Input'!C10</f>
        <v>In-Lieu of Property Taxes, all grades</v>
      </c>
      <c r="D14" s="220">
        <v>0</v>
      </c>
      <c r="E14" s="220">
        <f>'Cash Flow %s Yr4'!E14</f>
        <v>0.12</v>
      </c>
      <c r="F14" s="220">
        <f>'Cash Flow %s Yr4'!F14</f>
        <v>0.08</v>
      </c>
      <c r="G14" s="220">
        <f>'Cash Flow %s Yr4'!G14</f>
        <v>0.08</v>
      </c>
      <c r="H14" s="220">
        <f>'Cash Flow %s Yr4'!H14</f>
        <v>0.08</v>
      </c>
      <c r="I14" s="220">
        <f>'Cash Flow %s Yr4'!I14</f>
        <v>0.08</v>
      </c>
      <c r="J14" s="220">
        <f>'Cash Flow %s Yr4'!J14</f>
        <v>0.08</v>
      </c>
      <c r="K14" s="220">
        <f>'Cash Flow %s Yr4'!K14</f>
        <v>0.14000000000000001</v>
      </c>
      <c r="L14" s="220">
        <f>'Cash Flow %s Yr4'!L14</f>
        <v>7.0000000000000007E-2</v>
      </c>
      <c r="M14" s="220">
        <f>'Cash Flow %s Yr4'!M14</f>
        <v>7.0000000000000007E-2</v>
      </c>
      <c r="N14" s="220">
        <f>'Cash Flow %s Yr4'!N14</f>
        <v>7.0000000000000007E-2</v>
      </c>
      <c r="O14" s="220">
        <f>'Cash Flow %s Yr4'!O14</f>
        <v>7.0000000000000007E-2</v>
      </c>
      <c r="P14" s="220">
        <f>'Cash Flow %s Yr4'!P14</f>
        <v>0</v>
      </c>
      <c r="Q14" s="220">
        <v>0</v>
      </c>
      <c r="R14" s="220">
        <v>0</v>
      </c>
      <c r="S14" s="111">
        <f t="shared" si="1"/>
        <v>0.94000000000000017</v>
      </c>
    </row>
    <row r="15" spans="1:20" s="31" customFormat="1" x14ac:dyDescent="0.2">
      <c r="A15" s="50"/>
      <c r="B15" s="65" t="str">
        <f>'Revenue Input'!B11</f>
        <v>8599</v>
      </c>
      <c r="C15" s="65" t="str">
        <f>'Revenue Input'!C11</f>
        <v>Prior Year Income / Adjustments</v>
      </c>
      <c r="D15" s="115">
        <f>'Cash Flow %s Yr4'!D15</f>
        <v>0.66666666666666663</v>
      </c>
      <c r="E15" s="115">
        <f>'Cash Flow %s Yr4'!E15</f>
        <v>0.33333333333333331</v>
      </c>
      <c r="F15" s="115">
        <f>'Cash Flow %s Yr4'!F15</f>
        <v>0</v>
      </c>
      <c r="G15" s="115">
        <f>'Cash Flow %s Yr4'!G15</f>
        <v>0</v>
      </c>
      <c r="H15" s="115">
        <f>'Cash Flow %s Yr4'!H15</f>
        <v>0</v>
      </c>
      <c r="I15" s="115">
        <f>'Cash Flow %s Yr4'!I15</f>
        <v>0</v>
      </c>
      <c r="J15" s="115">
        <f>'Cash Flow %s Yr4'!J15</f>
        <v>0</v>
      </c>
      <c r="K15" s="115">
        <f>'Cash Flow %s Yr4'!K15</f>
        <v>0</v>
      </c>
      <c r="L15" s="115">
        <f>'Cash Flow %s Yr4'!L15</f>
        <v>0</v>
      </c>
      <c r="M15" s="115">
        <f>'Cash Flow %s Yr4'!M15</f>
        <v>0</v>
      </c>
      <c r="N15" s="115">
        <f>'Cash Flow %s Yr4'!N15</f>
        <v>0</v>
      </c>
      <c r="O15" s="115">
        <f>'Cash Flow %s Yr4'!O15</f>
        <v>0</v>
      </c>
      <c r="P15" s="115">
        <f>'Cash Flow %s Yr4'!P15</f>
        <v>0</v>
      </c>
      <c r="Q15" s="115">
        <f>'Cash Flow %s Yr4'!Q15</f>
        <v>0</v>
      </c>
      <c r="R15" s="115">
        <f>'Cash Flow %s Yr4'!R15</f>
        <v>0</v>
      </c>
      <c r="S15" s="111">
        <f t="shared" si="1"/>
        <v>1</v>
      </c>
    </row>
    <row r="16" spans="1:20" s="31" customFormat="1" x14ac:dyDescent="0.2">
      <c r="A16" s="50"/>
      <c r="B16" s="65" t="str">
        <f>'Revenue Input'!B12</f>
        <v>8181</v>
      </c>
      <c r="C16" s="65" t="str">
        <f>'Revenue Input'!C12</f>
        <v>Special Education</v>
      </c>
      <c r="D16" s="115">
        <f>'Cash Flow %s Yr4'!D16</f>
        <v>0</v>
      </c>
      <c r="E16" s="115">
        <f>'Cash Flow %s Yr4'!E16</f>
        <v>0.05</v>
      </c>
      <c r="F16" s="115">
        <f>'Cash Flow %s Yr4'!F16</f>
        <v>0.05</v>
      </c>
      <c r="G16" s="115">
        <f>'Cash Flow %s Yr4'!G16</f>
        <v>0.09</v>
      </c>
      <c r="H16" s="115">
        <f>'Cash Flow %s Yr4'!H16</f>
        <v>0.09</v>
      </c>
      <c r="I16" s="115">
        <f>'Cash Flow %s Yr4'!I16</f>
        <v>0.09</v>
      </c>
      <c r="J16" s="115">
        <f>'Cash Flow %s Yr4'!J16</f>
        <v>0.09</v>
      </c>
      <c r="K16" s="115">
        <f>'Cash Flow %s Yr4'!K16</f>
        <v>0.09</v>
      </c>
      <c r="L16" s="115">
        <f>'Cash Flow %s Yr4'!L16</f>
        <v>0.09</v>
      </c>
      <c r="M16" s="115">
        <f>'Cash Flow %s Yr4'!M16</f>
        <v>0.09</v>
      </c>
      <c r="N16" s="115">
        <f>'Cash Flow %s Yr4'!N16</f>
        <v>0.09</v>
      </c>
      <c r="O16" s="115">
        <f>'Cash Flow %s Yr4'!O16</f>
        <v>0.09</v>
      </c>
      <c r="P16" s="115">
        <f>'Cash Flow %s Yr4'!P16</f>
        <v>0.06</v>
      </c>
      <c r="Q16" s="115">
        <f>'Cash Flow %s Yr4'!Q16</f>
        <v>0.03</v>
      </c>
      <c r="R16" s="115">
        <f>'Cash Flow %s Yr4'!R16</f>
        <v>0</v>
      </c>
      <c r="S16" s="111">
        <f t="shared" si="1"/>
        <v>0.99999999999999978</v>
      </c>
    </row>
    <row r="17" spans="1:20" s="31" customFormat="1" x14ac:dyDescent="0.2">
      <c r="A17" s="50"/>
      <c r="B17" s="65" t="str">
        <f>'Revenue Input'!B13</f>
        <v>8560</v>
      </c>
      <c r="C17" s="65" t="str">
        <f>'Revenue Input'!C13</f>
        <v>Lottery</v>
      </c>
      <c r="D17" s="115">
        <f>'Cash Flow %s Yr4'!D17</f>
        <v>0</v>
      </c>
      <c r="E17" s="115">
        <f>'Cash Flow %s Yr4'!E17</f>
        <v>0</v>
      </c>
      <c r="F17" s="115">
        <f>'Cash Flow %s Yr4'!F17</f>
        <v>0</v>
      </c>
      <c r="G17" s="115">
        <f>'Cash Flow %s Yr4'!G17</f>
        <v>0</v>
      </c>
      <c r="H17" s="115">
        <f>'Cash Flow %s Yr4'!H17</f>
        <v>0</v>
      </c>
      <c r="I17" s="115">
        <f>'Cash Flow %s Yr4'!I17</f>
        <v>0.25</v>
      </c>
      <c r="J17" s="115">
        <f>'Cash Flow %s Yr4'!J17</f>
        <v>0</v>
      </c>
      <c r="K17" s="115">
        <f>'Cash Flow %s Yr4'!K17</f>
        <v>0.25</v>
      </c>
      <c r="L17" s="115">
        <f>'Cash Flow %s Yr4'!L17</f>
        <v>0</v>
      </c>
      <c r="M17" s="115">
        <f>'Cash Flow %s Yr4'!M17</f>
        <v>0.25</v>
      </c>
      <c r="N17" s="115">
        <f>'Cash Flow %s Yr4'!N17</f>
        <v>0</v>
      </c>
      <c r="O17" s="115">
        <f>'Cash Flow %s Yr4'!O17</f>
        <v>0</v>
      </c>
      <c r="P17" s="115">
        <f>'Cash Flow %s Yr4'!P17</f>
        <v>0.25</v>
      </c>
      <c r="Q17" s="115">
        <f>'Cash Flow %s Yr4'!Q17</f>
        <v>0</v>
      </c>
      <c r="R17" s="115">
        <f>'Cash Flow %s Yr4'!R17</f>
        <v>0</v>
      </c>
      <c r="S17" s="111">
        <f t="shared" si="1"/>
        <v>1</v>
      </c>
      <c r="T17" s="1">
        <f>'Cash Flow %s Yr4'!T17</f>
        <v>0</v>
      </c>
    </row>
    <row r="18" spans="1:20" s="31" customFormat="1" x14ac:dyDescent="0.2">
      <c r="A18" s="49"/>
      <c r="B18" s="65" t="str">
        <f>'Revenue Input'!B14</f>
        <v>8520</v>
      </c>
      <c r="C18" s="65" t="str">
        <f>'Revenue Input'!C14</f>
        <v>State Child Nutrition program</v>
      </c>
      <c r="D18" s="115">
        <f>'Cash Flow %s Yr4'!D18</f>
        <v>0</v>
      </c>
      <c r="E18" s="115">
        <f>'Cash Flow %s Yr4'!E18</f>
        <v>0</v>
      </c>
      <c r="F18" s="115">
        <f>'Cash Flow %s Yr4'!F18</f>
        <v>0</v>
      </c>
      <c r="G18" s="115">
        <f>'Cash Flow %s Yr4'!G18</f>
        <v>0</v>
      </c>
      <c r="H18" s="115">
        <f>'Cash Flow %s Yr4'!H18</f>
        <v>0.1</v>
      </c>
      <c r="I18" s="115">
        <f>'Cash Flow %s Yr4'!I18</f>
        <v>0.1</v>
      </c>
      <c r="J18" s="115">
        <f>'Cash Flow %s Yr4'!J18</f>
        <v>0.1</v>
      </c>
      <c r="K18" s="115">
        <f>'Cash Flow %s Yr4'!K18</f>
        <v>0.1</v>
      </c>
      <c r="L18" s="115">
        <f>'Cash Flow %s Yr4'!L18</f>
        <v>0.1</v>
      </c>
      <c r="M18" s="115">
        <f>'Cash Flow %s Yr4'!M18</f>
        <v>0.1</v>
      </c>
      <c r="N18" s="115">
        <f>'Cash Flow %s Yr4'!N18</f>
        <v>0.1</v>
      </c>
      <c r="O18" s="115">
        <f>'Cash Flow %s Yr4'!O18</f>
        <v>0.1</v>
      </c>
      <c r="P18" s="115">
        <f>'Cash Flow %s Yr4'!P18</f>
        <v>0.1</v>
      </c>
      <c r="Q18" s="115">
        <f>'Cash Flow %s Yr4'!Q18</f>
        <v>0.1</v>
      </c>
      <c r="R18" s="115">
        <f>'Cash Flow %s Yr4'!R18</f>
        <v>0</v>
      </c>
      <c r="S18" s="111">
        <f t="shared" si="1"/>
        <v>0.99999999999999989</v>
      </c>
    </row>
    <row r="19" spans="1:20" s="31" customFormat="1" x14ac:dyDescent="0.2">
      <c r="A19" s="50"/>
      <c r="B19" s="65" t="str">
        <f>'Revenue Input'!B15</f>
        <v>8591</v>
      </c>
      <c r="C19" s="65" t="str">
        <f>'Revenue Input'!C15</f>
        <v>SB 740 Rent re-imbursement program</v>
      </c>
      <c r="D19" s="115">
        <f>'Cash Flow %s Yr4'!D19</f>
        <v>0</v>
      </c>
      <c r="E19" s="115">
        <f>'Cash Flow %s Yr4'!E19</f>
        <v>0</v>
      </c>
      <c r="F19" s="115">
        <f>'Cash Flow %s Yr4'!F19</f>
        <v>0</v>
      </c>
      <c r="G19" s="115">
        <f>'Cash Flow %s Yr4'!G19</f>
        <v>0</v>
      </c>
      <c r="H19" s="115">
        <f>'Cash Flow %s Yr4'!H19</f>
        <v>0.25</v>
      </c>
      <c r="I19" s="115">
        <f>'Cash Flow %s Yr4'!I19</f>
        <v>0</v>
      </c>
      <c r="J19" s="115">
        <f>'Cash Flow %s Yr4'!J19</f>
        <v>0</v>
      </c>
      <c r="K19" s="115">
        <f>'Cash Flow %s Yr4'!K19</f>
        <v>0.25</v>
      </c>
      <c r="L19" s="115">
        <f>'Cash Flow %s Yr4'!L19</f>
        <v>0</v>
      </c>
      <c r="M19" s="115">
        <f>'Cash Flow %s Yr4'!M19</f>
        <v>0</v>
      </c>
      <c r="N19" s="115">
        <f>'Cash Flow %s Yr4'!N19</f>
        <v>0.25</v>
      </c>
      <c r="O19" s="115">
        <f>'Cash Flow %s Yr4'!O19</f>
        <v>0</v>
      </c>
      <c r="P19" s="115">
        <f>'Cash Flow %s Yr4'!P19</f>
        <v>0</v>
      </c>
      <c r="Q19" s="115">
        <f>'Cash Flow %s Yr4'!Q19</f>
        <v>0.25</v>
      </c>
      <c r="R19" s="115">
        <f>'Cash Flow %s Yr4'!R19</f>
        <v>0</v>
      </c>
      <c r="S19" s="111">
        <f t="shared" si="1"/>
        <v>1</v>
      </c>
    </row>
    <row r="20" spans="1:20" s="31" customFormat="1" ht="18" x14ac:dyDescent="0.2">
      <c r="A20" s="47"/>
      <c r="B20" s="65" t="str">
        <f>'Revenue Input'!B16</f>
        <v>8590</v>
      </c>
      <c r="C20" s="65" t="str">
        <f>'Revenue Input'!C16</f>
        <v>Educator Effectiveness</v>
      </c>
      <c r="D20" s="115">
        <f>'Cash Flow %s Yr4'!D20</f>
        <v>0</v>
      </c>
      <c r="E20" s="115">
        <f>'Cash Flow %s Yr4'!E20</f>
        <v>0</v>
      </c>
      <c r="F20" s="115">
        <f>'Cash Flow %s Yr4'!F20</f>
        <v>0</v>
      </c>
      <c r="G20" s="115">
        <f>'Cash Flow %s Yr4'!G20</f>
        <v>0</v>
      </c>
      <c r="H20" s="115">
        <f>'Cash Flow %s Yr4'!H20</f>
        <v>0</v>
      </c>
      <c r="I20" s="115">
        <f>'Cash Flow %s Yr4'!I20</f>
        <v>0.8</v>
      </c>
      <c r="J20" s="115">
        <f>'Cash Flow %s Yr4'!J20</f>
        <v>0</v>
      </c>
      <c r="K20" s="115">
        <f>'Cash Flow %s Yr4'!K20</f>
        <v>0</v>
      </c>
      <c r="L20" s="115">
        <f>'Cash Flow %s Yr4'!L20</f>
        <v>0.2</v>
      </c>
      <c r="M20" s="115">
        <f>'Cash Flow %s Yr4'!M20</f>
        <v>0</v>
      </c>
      <c r="N20" s="115">
        <f>'Cash Flow %s Yr4'!N20</f>
        <v>0</v>
      </c>
      <c r="O20" s="115">
        <f>'Cash Flow %s Yr4'!O20</f>
        <v>0</v>
      </c>
      <c r="P20" s="115">
        <f>'Cash Flow %s Yr4'!P20</f>
        <v>0</v>
      </c>
      <c r="Q20" s="115">
        <f>'Cash Flow %s Yr4'!Q20</f>
        <v>0</v>
      </c>
      <c r="R20" s="115">
        <f>'Cash Flow %s Yr4'!R20</f>
        <v>0</v>
      </c>
      <c r="S20" s="111">
        <f t="shared" si="1"/>
        <v>1</v>
      </c>
    </row>
    <row r="21" spans="1:20" s="31" customFormat="1" ht="18" x14ac:dyDescent="0.2">
      <c r="A21" s="47"/>
      <c r="B21" s="65" t="str">
        <f>'Revenue Input'!B17</f>
        <v>8550</v>
      </c>
      <c r="C21" s="65" t="str">
        <f>'Revenue Input'!C17</f>
        <v>Mandate Block Grant</v>
      </c>
      <c r="D21" s="115">
        <f>'Cash Flow %s Yr4'!D21</f>
        <v>0</v>
      </c>
      <c r="E21" s="115">
        <f>'Cash Flow %s Yr4'!E21</f>
        <v>0</v>
      </c>
      <c r="F21" s="115">
        <f>'Cash Flow %s Yr4'!F21</f>
        <v>0.5</v>
      </c>
      <c r="G21" s="115">
        <f>'Cash Flow %s Yr4'!G21</f>
        <v>0</v>
      </c>
      <c r="H21" s="115">
        <f>'Cash Flow %s Yr4'!H21</f>
        <v>0</v>
      </c>
      <c r="I21" s="115">
        <f>'Cash Flow %s Yr4'!I21</f>
        <v>0</v>
      </c>
      <c r="J21" s="115">
        <f>'Cash Flow %s Yr4'!J21</f>
        <v>0.5</v>
      </c>
      <c r="K21" s="115">
        <f>'Cash Flow %s Yr4'!K21</f>
        <v>0</v>
      </c>
      <c r="L21" s="115">
        <f>'Cash Flow %s Yr4'!L21</f>
        <v>0</v>
      </c>
      <c r="M21" s="115">
        <f>'Cash Flow %s Yr4'!M21</f>
        <v>0</v>
      </c>
      <c r="N21" s="115">
        <f>'Cash Flow %s Yr4'!N21</f>
        <v>0</v>
      </c>
      <c r="O21" s="115">
        <f>'Cash Flow %s Yr4'!O21</f>
        <v>0</v>
      </c>
      <c r="P21" s="115">
        <f>'Cash Flow %s Yr4'!P21</f>
        <v>0</v>
      </c>
      <c r="Q21" s="115">
        <f>'Cash Flow %s Yr4'!Q21</f>
        <v>0</v>
      </c>
      <c r="R21" s="115">
        <f>'Cash Flow %s Yr4'!R21</f>
        <v>0</v>
      </c>
      <c r="S21" s="111">
        <f>SUM(D21:R21)</f>
        <v>1</v>
      </c>
    </row>
    <row r="22" spans="1:20" s="31" customFormat="1" ht="18" x14ac:dyDescent="0.2">
      <c r="A22" s="47"/>
      <c r="B22" s="65" t="str">
        <f>'Revenue Input'!B18</f>
        <v>8550</v>
      </c>
      <c r="C22" s="65" t="str">
        <f>'Revenue Input'!C18</f>
        <v>One Time Block Grant</v>
      </c>
      <c r="D22" s="115">
        <f>'Cash Flow %s Yr4'!D22</f>
        <v>0</v>
      </c>
      <c r="E22" s="115">
        <f>'Cash Flow %s Yr4'!E22</f>
        <v>0</v>
      </c>
      <c r="F22" s="115">
        <f>'Cash Flow %s Yr4'!F22</f>
        <v>0</v>
      </c>
      <c r="G22" s="115">
        <f>'Cash Flow %s Yr4'!G22</f>
        <v>0</v>
      </c>
      <c r="H22" s="115">
        <f>'Cash Flow %s Yr4'!H22</f>
        <v>0</v>
      </c>
      <c r="I22" s="115">
        <f>'Cash Flow %s Yr4'!I22</f>
        <v>0.8</v>
      </c>
      <c r="J22" s="115">
        <f>'Cash Flow %s Yr4'!J22</f>
        <v>0</v>
      </c>
      <c r="K22" s="115">
        <f>'Cash Flow %s Yr4'!K22</f>
        <v>0</v>
      </c>
      <c r="L22" s="115">
        <f>'Cash Flow %s Yr4'!L22</f>
        <v>0.2</v>
      </c>
      <c r="M22" s="115">
        <f>'Cash Flow %s Yr4'!M22</f>
        <v>0</v>
      </c>
      <c r="N22" s="115">
        <f>'Cash Flow %s Yr4'!N22</f>
        <v>0</v>
      </c>
      <c r="O22" s="115">
        <f>'Cash Flow %s Yr4'!O22</f>
        <v>0</v>
      </c>
      <c r="P22" s="115">
        <f>'Cash Flow %s Yr4'!P22</f>
        <v>0</v>
      </c>
      <c r="Q22" s="115">
        <f>'Cash Flow %s Yr4'!Q22</f>
        <v>0</v>
      </c>
      <c r="R22" s="115">
        <f>'Cash Flow %s Yr4'!R22</f>
        <v>0</v>
      </c>
      <c r="S22" s="111">
        <f t="shared" si="1"/>
        <v>1</v>
      </c>
    </row>
    <row r="23" spans="1:20" s="31" customFormat="1" ht="18" x14ac:dyDescent="0.2">
      <c r="A23" s="47"/>
      <c r="B23" s="72"/>
      <c r="C23" s="50"/>
      <c r="D23" s="120"/>
      <c r="E23" s="120"/>
      <c r="F23" s="120"/>
      <c r="G23" s="120"/>
      <c r="H23" s="120"/>
      <c r="I23" s="120"/>
      <c r="J23" s="120"/>
      <c r="K23" s="120"/>
      <c r="L23" s="120"/>
      <c r="M23" s="120"/>
      <c r="N23" s="120"/>
      <c r="O23" s="120"/>
      <c r="P23" s="120"/>
      <c r="Q23" s="120"/>
      <c r="R23" s="121"/>
      <c r="S23" s="111"/>
    </row>
    <row r="24" spans="1:20" s="31" customFormat="1" ht="18" x14ac:dyDescent="0.2">
      <c r="A24" s="47"/>
      <c r="B24" s="72"/>
      <c r="C24" s="50"/>
      <c r="D24" s="119"/>
      <c r="E24" s="119"/>
      <c r="F24" s="119"/>
      <c r="G24" s="119"/>
      <c r="H24" s="119"/>
      <c r="I24" s="119"/>
      <c r="J24" s="119"/>
      <c r="K24" s="119"/>
      <c r="L24" s="119"/>
      <c r="M24" s="119"/>
      <c r="N24" s="119"/>
      <c r="O24" s="119"/>
      <c r="P24" s="119"/>
      <c r="Q24" s="119"/>
      <c r="R24" s="119"/>
      <c r="S24" s="111"/>
    </row>
    <row r="25" spans="1:20" s="31" customFormat="1" ht="18" x14ac:dyDescent="0.2">
      <c r="B25" s="47" t="s">
        <v>785</v>
      </c>
      <c r="C25" s="50"/>
      <c r="D25" s="119"/>
      <c r="E25" s="119"/>
      <c r="F25" s="119"/>
      <c r="G25" s="119"/>
      <c r="H25" s="119"/>
      <c r="I25" s="119"/>
      <c r="J25" s="119"/>
      <c r="K25" s="119"/>
      <c r="L25" s="119"/>
      <c r="M25" s="119"/>
      <c r="N25" s="119"/>
      <c r="O25" s="119"/>
      <c r="P25" s="119"/>
      <c r="Q25" s="119"/>
      <c r="R25" s="119"/>
      <c r="S25" s="111"/>
    </row>
    <row r="26" spans="1:20" s="31" customFormat="1" ht="18" x14ac:dyDescent="0.2">
      <c r="A26" s="47"/>
      <c r="B26" s="65" t="str">
        <f>'Revenue Input'!B22</f>
        <v>8220</v>
      </c>
      <c r="C26" s="65" t="str">
        <f>'Revenue Input'!C22</f>
        <v>Federal Child Nutrition Programs</v>
      </c>
      <c r="D26" s="115">
        <f>'Cash Flow %s Yr4'!D26</f>
        <v>0</v>
      </c>
      <c r="E26" s="115">
        <f>'Cash Flow %s Yr4'!E26</f>
        <v>0</v>
      </c>
      <c r="F26" s="115">
        <f>'Cash Flow %s Yr4'!F26</f>
        <v>0</v>
      </c>
      <c r="G26" s="115">
        <f>'Cash Flow %s Yr4'!G26</f>
        <v>0</v>
      </c>
      <c r="H26" s="115">
        <f>'Cash Flow %s Yr4'!H26</f>
        <v>0.1</v>
      </c>
      <c r="I26" s="115">
        <f>'Cash Flow %s Yr4'!I26</f>
        <v>0.1</v>
      </c>
      <c r="J26" s="115">
        <f>'Cash Flow %s Yr4'!J26</f>
        <v>0.1</v>
      </c>
      <c r="K26" s="115">
        <f>'Cash Flow %s Yr4'!K26</f>
        <v>0.1</v>
      </c>
      <c r="L26" s="115">
        <f>'Cash Flow %s Yr4'!L26</f>
        <v>0.1</v>
      </c>
      <c r="M26" s="115">
        <f>'Cash Flow %s Yr4'!M26</f>
        <v>0.1</v>
      </c>
      <c r="N26" s="115">
        <f>'Cash Flow %s Yr4'!N26</f>
        <v>0.1</v>
      </c>
      <c r="O26" s="115">
        <f>'Cash Flow %s Yr4'!O26</f>
        <v>0.1</v>
      </c>
      <c r="P26" s="115">
        <f>'Cash Flow %s Yr4'!P26</f>
        <v>0.1</v>
      </c>
      <c r="Q26" s="115">
        <f>'Cash Flow %s Yr4'!Q26</f>
        <v>0.1</v>
      </c>
      <c r="R26" s="115">
        <f>'Cash Flow %s Yr4'!R26</f>
        <v>0</v>
      </c>
      <c r="S26" s="111">
        <f t="shared" ref="S26:S33" si="2">SUM(D26:R26)</f>
        <v>0.99999999999999989</v>
      </c>
    </row>
    <row r="27" spans="1:20" s="31" customFormat="1" ht="18" x14ac:dyDescent="0.2">
      <c r="A27" s="47"/>
      <c r="B27" s="65" t="str">
        <f>'Revenue Input'!B23</f>
        <v>8290</v>
      </c>
      <c r="C27" s="65" t="str">
        <f>'Revenue Input'!C23</f>
        <v>All Other Federal Revenue, inc Facilities Incentive Grants program</v>
      </c>
      <c r="D27" s="115">
        <f>'Cash Flow %s Yr4'!D27</f>
        <v>0</v>
      </c>
      <c r="E27" s="115">
        <f>'Cash Flow %s Yr4'!E27</f>
        <v>0</v>
      </c>
      <c r="F27" s="115">
        <f>'Cash Flow %s Yr4'!F27</f>
        <v>0</v>
      </c>
      <c r="G27" s="115">
        <f>'Cash Flow %s Yr4'!G27</f>
        <v>0</v>
      </c>
      <c r="H27" s="115">
        <f>'Cash Flow %s Yr4'!H27</f>
        <v>0</v>
      </c>
      <c r="I27" s="115">
        <f>'Cash Flow %s Yr4'!I27</f>
        <v>0</v>
      </c>
      <c r="J27" s="115">
        <f>'Cash Flow %s Yr4'!J27</f>
        <v>0.25</v>
      </c>
      <c r="K27" s="115">
        <f>'Cash Flow %s Yr4'!K27</f>
        <v>0</v>
      </c>
      <c r="L27" s="115">
        <f>'Cash Flow %s Yr4'!L27</f>
        <v>0</v>
      </c>
      <c r="M27" s="115">
        <f>'Cash Flow %s Yr4'!M27</f>
        <v>0.5</v>
      </c>
      <c r="N27" s="115">
        <f>'Cash Flow %s Yr4'!N27</f>
        <v>0</v>
      </c>
      <c r="O27" s="115">
        <f>'Cash Flow %s Yr4'!O27</f>
        <v>0.25</v>
      </c>
      <c r="P27" s="115">
        <f>'Cash Flow %s Yr4'!P27</f>
        <v>0</v>
      </c>
      <c r="Q27" s="115">
        <f>'Cash Flow %s Yr4'!Q27</f>
        <v>0</v>
      </c>
      <c r="R27" s="115">
        <f>'Cash Flow %s Yr4'!R27</f>
        <v>0</v>
      </c>
      <c r="S27" s="111">
        <f t="shared" si="2"/>
        <v>1</v>
      </c>
    </row>
    <row r="28" spans="1:20" s="31" customFormat="1" ht="18" x14ac:dyDescent="0.2">
      <c r="A28" s="47"/>
      <c r="B28" s="65" t="str">
        <f>'Revenue Input'!B24</f>
        <v>8291</v>
      </c>
      <c r="C28" s="65" t="str">
        <f>'Revenue Input'!C24</f>
        <v>Title I</v>
      </c>
      <c r="D28" s="115">
        <f>'Cash Flow %s Yr4'!D28</f>
        <v>0</v>
      </c>
      <c r="E28" s="115">
        <f>'Cash Flow %s Yr4'!E28</f>
        <v>0</v>
      </c>
      <c r="F28" s="115">
        <f>'Cash Flow %s Yr4'!F28</f>
        <v>0</v>
      </c>
      <c r="G28" s="115">
        <f>'Cash Flow %s Yr4'!G28</f>
        <v>0</v>
      </c>
      <c r="H28" s="115">
        <f>'Cash Flow %s Yr4'!H28</f>
        <v>0</v>
      </c>
      <c r="I28" s="115">
        <f>'Cash Flow %s Yr4'!I28</f>
        <v>0</v>
      </c>
      <c r="J28" s="115">
        <f>'Cash Flow %s Yr4'!J28</f>
        <v>0.25</v>
      </c>
      <c r="K28" s="115">
        <f>'Cash Flow %s Yr4'!K28</f>
        <v>0</v>
      </c>
      <c r="L28" s="115">
        <f>'Cash Flow %s Yr4'!L28</f>
        <v>0</v>
      </c>
      <c r="M28" s="115">
        <f>'Cash Flow %s Yr4'!M28</f>
        <v>0.5</v>
      </c>
      <c r="N28" s="115">
        <f>'Cash Flow %s Yr4'!N28</f>
        <v>0</v>
      </c>
      <c r="O28" s="115">
        <f>'Cash Flow %s Yr4'!O28</f>
        <v>0.25</v>
      </c>
      <c r="P28" s="115">
        <f>'Cash Flow %s Yr4'!P28</f>
        <v>0</v>
      </c>
      <c r="Q28" s="115">
        <f>'Cash Flow %s Yr4'!Q28</f>
        <v>0</v>
      </c>
      <c r="R28" s="115">
        <f>'Cash Flow %s Yr4'!R28</f>
        <v>0</v>
      </c>
      <c r="S28" s="111">
        <f t="shared" si="2"/>
        <v>1</v>
      </c>
    </row>
    <row r="29" spans="1:20" s="31" customFormat="1" ht="18" x14ac:dyDescent="0.2">
      <c r="A29" s="47"/>
      <c r="B29" s="65" t="str">
        <f>'Revenue Input'!B25</f>
        <v>8292</v>
      </c>
      <c r="C29" s="65" t="str">
        <f>'Revenue Input'!C25</f>
        <v>Title II</v>
      </c>
      <c r="D29" s="115">
        <f>'Cash Flow %s Yr4'!D29</f>
        <v>0</v>
      </c>
      <c r="E29" s="115">
        <f>'Cash Flow %s Yr4'!E29</f>
        <v>0</v>
      </c>
      <c r="F29" s="115">
        <f>'Cash Flow %s Yr4'!F29</f>
        <v>0</v>
      </c>
      <c r="G29" s="115">
        <f>'Cash Flow %s Yr4'!G29</f>
        <v>0</v>
      </c>
      <c r="H29" s="115">
        <f>'Cash Flow %s Yr4'!H29</f>
        <v>0</v>
      </c>
      <c r="I29" s="115">
        <f>'Cash Flow %s Yr4'!I29</f>
        <v>0</v>
      </c>
      <c r="J29" s="115">
        <f>'Cash Flow %s Yr4'!J29</f>
        <v>0.25</v>
      </c>
      <c r="K29" s="115">
        <f>'Cash Flow %s Yr4'!K29</f>
        <v>0</v>
      </c>
      <c r="L29" s="115">
        <f>'Cash Flow %s Yr4'!L29</f>
        <v>0</v>
      </c>
      <c r="M29" s="115">
        <f>'Cash Flow %s Yr4'!M29</f>
        <v>0.5</v>
      </c>
      <c r="N29" s="115">
        <f>'Cash Flow %s Yr4'!N29</f>
        <v>0</v>
      </c>
      <c r="O29" s="115">
        <f>'Cash Flow %s Yr4'!O29</f>
        <v>0.25</v>
      </c>
      <c r="P29" s="115">
        <f>'Cash Flow %s Yr4'!P29</f>
        <v>0</v>
      </c>
      <c r="Q29" s="115">
        <f>'Cash Flow %s Yr4'!Q29</f>
        <v>0</v>
      </c>
      <c r="R29" s="115">
        <f>'Cash Flow %s Yr4'!R29</f>
        <v>0</v>
      </c>
      <c r="S29" s="111">
        <f t="shared" si="2"/>
        <v>1</v>
      </c>
    </row>
    <row r="30" spans="1:20" s="31" customFormat="1" ht="18" x14ac:dyDescent="0.2">
      <c r="A30" s="47"/>
      <c r="B30" s="65" t="str">
        <f>'Revenue Input'!B26</f>
        <v>8293</v>
      </c>
      <c r="C30" s="65" t="str">
        <f>'Revenue Input'!C26</f>
        <v>Title III</v>
      </c>
      <c r="D30" s="115">
        <f>'Cash Flow %s Yr4'!D30</f>
        <v>0</v>
      </c>
      <c r="E30" s="115">
        <f>'Cash Flow %s Yr4'!E30</f>
        <v>0</v>
      </c>
      <c r="F30" s="115">
        <f>'Cash Flow %s Yr4'!F30</f>
        <v>0</v>
      </c>
      <c r="G30" s="115">
        <f>'Cash Flow %s Yr4'!G30</f>
        <v>0</v>
      </c>
      <c r="H30" s="115">
        <f>'Cash Flow %s Yr4'!H30</f>
        <v>0</v>
      </c>
      <c r="I30" s="115">
        <f>'Cash Flow %s Yr4'!I30</f>
        <v>0</v>
      </c>
      <c r="J30" s="115">
        <f>'Cash Flow %s Yr4'!J30</f>
        <v>0.25</v>
      </c>
      <c r="K30" s="115">
        <f>'Cash Flow %s Yr4'!K30</f>
        <v>0</v>
      </c>
      <c r="L30" s="115">
        <f>'Cash Flow %s Yr4'!L30</f>
        <v>0</v>
      </c>
      <c r="M30" s="115">
        <f>'Cash Flow %s Yr4'!M30</f>
        <v>0.5</v>
      </c>
      <c r="N30" s="115">
        <f>'Cash Flow %s Yr4'!N30</f>
        <v>0</v>
      </c>
      <c r="O30" s="115">
        <f>'Cash Flow %s Yr4'!O30</f>
        <v>0.25</v>
      </c>
      <c r="P30" s="115">
        <f>'Cash Flow %s Yr4'!P30</f>
        <v>0</v>
      </c>
      <c r="Q30" s="115">
        <f>'Cash Flow %s Yr4'!Q30</f>
        <v>0</v>
      </c>
      <c r="R30" s="115">
        <f>'Cash Flow %s Yr4'!R30</f>
        <v>0</v>
      </c>
      <c r="S30" s="111">
        <f t="shared" si="2"/>
        <v>1</v>
      </c>
    </row>
    <row r="31" spans="1:20" s="31" customFormat="1" ht="18" x14ac:dyDescent="0.2">
      <c r="A31" s="47"/>
      <c r="B31" s="65" t="str">
        <f>'Revenue Input'!B27</f>
        <v>8294</v>
      </c>
      <c r="C31" s="65" t="str">
        <f>'Revenue Input'!C27</f>
        <v>Title IV</v>
      </c>
      <c r="D31" s="115">
        <f>'Cash Flow %s Yr4'!D31</f>
        <v>0</v>
      </c>
      <c r="E31" s="115">
        <f>'Cash Flow %s Yr4'!E31</f>
        <v>0</v>
      </c>
      <c r="F31" s="115">
        <f>'Cash Flow %s Yr4'!F31</f>
        <v>0</v>
      </c>
      <c r="G31" s="115">
        <f>'Cash Flow %s Yr4'!G31</f>
        <v>0</v>
      </c>
      <c r="H31" s="115">
        <f>'Cash Flow %s Yr4'!H31</f>
        <v>0</v>
      </c>
      <c r="I31" s="115">
        <f>'Cash Flow %s Yr4'!I31</f>
        <v>0</v>
      </c>
      <c r="J31" s="115">
        <f>'Cash Flow %s Yr4'!J31</f>
        <v>0.25</v>
      </c>
      <c r="K31" s="115">
        <f>'Cash Flow %s Yr4'!K31</f>
        <v>0</v>
      </c>
      <c r="L31" s="115">
        <f>'Cash Flow %s Yr4'!L31</f>
        <v>0</v>
      </c>
      <c r="M31" s="115">
        <f>'Cash Flow %s Yr4'!M31</f>
        <v>0.5</v>
      </c>
      <c r="N31" s="115">
        <f>'Cash Flow %s Yr4'!N31</f>
        <v>0</v>
      </c>
      <c r="O31" s="115">
        <f>'Cash Flow %s Yr4'!O31</f>
        <v>0.25</v>
      </c>
      <c r="P31" s="115">
        <f>'Cash Flow %s Yr4'!P31</f>
        <v>0</v>
      </c>
      <c r="Q31" s="115">
        <f>'Cash Flow %s Yr4'!Q31</f>
        <v>0</v>
      </c>
      <c r="R31" s="115">
        <f>'Cash Flow %s Yr4'!R31</f>
        <v>0</v>
      </c>
      <c r="S31" s="111">
        <f t="shared" si="2"/>
        <v>1</v>
      </c>
    </row>
    <row r="32" spans="1:20" s="31" customFormat="1" ht="18" x14ac:dyDescent="0.2">
      <c r="A32" s="47"/>
      <c r="B32" s="65" t="str">
        <f>'Revenue Input'!B28</f>
        <v>8295</v>
      </c>
      <c r="C32" s="65" t="str">
        <f>'Revenue Input'!C28</f>
        <v>Title V</v>
      </c>
      <c r="D32" s="115">
        <f>'Cash Flow %s Yr4'!D32</f>
        <v>0</v>
      </c>
      <c r="E32" s="115">
        <f>'Cash Flow %s Yr4'!E32</f>
        <v>0</v>
      </c>
      <c r="F32" s="115">
        <f>'Cash Flow %s Yr4'!F32</f>
        <v>1</v>
      </c>
      <c r="G32" s="115">
        <f>'Cash Flow %s Yr4'!G32</f>
        <v>0</v>
      </c>
      <c r="H32" s="115">
        <f>'Cash Flow %s Yr4'!H32</f>
        <v>0</v>
      </c>
      <c r="I32" s="115">
        <f>'Cash Flow %s Yr4'!I32</f>
        <v>0</v>
      </c>
      <c r="J32" s="115">
        <f>'Cash Flow %s Yr4'!J32</f>
        <v>0</v>
      </c>
      <c r="K32" s="115">
        <f>'Cash Flow %s Yr4'!K32</f>
        <v>0</v>
      </c>
      <c r="L32" s="115">
        <f>'Cash Flow %s Yr4'!L32</f>
        <v>0</v>
      </c>
      <c r="M32" s="115">
        <f>'Cash Flow %s Yr4'!M32</f>
        <v>0</v>
      </c>
      <c r="N32" s="115">
        <f>'Cash Flow %s Yr4'!N32</f>
        <v>0</v>
      </c>
      <c r="O32" s="115">
        <f>'Cash Flow %s Yr4'!O32</f>
        <v>0</v>
      </c>
      <c r="P32" s="115">
        <f>'Cash Flow %s Yr4'!P32</f>
        <v>0</v>
      </c>
      <c r="Q32" s="115">
        <f>'Cash Flow %s Yr4'!Q32</f>
        <v>0</v>
      </c>
      <c r="R32" s="115">
        <f>'Cash Flow %s Yr4'!R32</f>
        <v>0</v>
      </c>
      <c r="S32" s="111">
        <f t="shared" si="2"/>
        <v>1</v>
      </c>
    </row>
    <row r="33" spans="1:19" s="31" customFormat="1" ht="18" x14ac:dyDescent="0.2">
      <c r="A33" s="47"/>
      <c r="B33" s="65" t="str">
        <f>'Revenue Input'!B29</f>
        <v>8299</v>
      </c>
      <c r="C33" s="65" t="str">
        <f>'Revenue Input'!C29</f>
        <v>Prior Year Federal Revenue</v>
      </c>
      <c r="D33" s="115">
        <f>'Cash Flow %s Yr4'!D33</f>
        <v>0</v>
      </c>
      <c r="E33" s="115">
        <f>'Cash Flow %s Yr4'!E33</f>
        <v>0</v>
      </c>
      <c r="F33" s="115">
        <f>'Cash Flow %s Yr4'!F33</f>
        <v>0.5</v>
      </c>
      <c r="G33" s="115">
        <f>'Cash Flow %s Yr4'!G33</f>
        <v>0</v>
      </c>
      <c r="H33" s="115">
        <f>'Cash Flow %s Yr4'!H33</f>
        <v>0</v>
      </c>
      <c r="I33" s="115" t="e">
        <f>'Cash Flow %s Yr4'!I33</f>
        <v>#REF!</v>
      </c>
      <c r="J33" s="115">
        <f>'Cash Flow %s Yr4'!J33</f>
        <v>0</v>
      </c>
      <c r="K33" s="115">
        <f>'Cash Flow %s Yr4'!K33</f>
        <v>0.4</v>
      </c>
      <c r="L33" s="115">
        <f>'Cash Flow %s Yr4'!L33</f>
        <v>0</v>
      </c>
      <c r="M33" s="115">
        <f>'Cash Flow %s Yr4'!M33</f>
        <v>0</v>
      </c>
      <c r="N33" s="115">
        <f>'Cash Flow %s Yr4'!N33</f>
        <v>0.1</v>
      </c>
      <c r="O33" s="115">
        <f>'Cash Flow %s Yr4'!O33</f>
        <v>0</v>
      </c>
      <c r="P33" s="115">
        <f>'Cash Flow %s Yr4'!P33</f>
        <v>0</v>
      </c>
      <c r="Q33" s="115">
        <f>'Cash Flow %s Yr4'!Q33</f>
        <v>0</v>
      </c>
      <c r="R33" s="115">
        <f>'Cash Flow %s Yr4'!R33</f>
        <v>0</v>
      </c>
      <c r="S33" s="111" t="e">
        <f t="shared" si="2"/>
        <v>#REF!</v>
      </c>
    </row>
    <row r="34" spans="1:19" s="31" customFormat="1" ht="18" x14ac:dyDescent="0.2">
      <c r="A34" s="47"/>
      <c r="B34" s="72"/>
      <c r="C34" s="50"/>
      <c r="D34" s="120"/>
      <c r="E34" s="120"/>
      <c r="F34" s="120"/>
      <c r="G34" s="120"/>
      <c r="H34" s="120"/>
      <c r="I34" s="120"/>
      <c r="J34" s="120"/>
      <c r="K34" s="120"/>
      <c r="L34" s="120"/>
      <c r="M34" s="120"/>
      <c r="N34" s="120"/>
      <c r="O34" s="120"/>
      <c r="P34" s="120"/>
      <c r="Q34" s="120"/>
      <c r="R34" s="120"/>
      <c r="S34" s="111"/>
    </row>
    <row r="35" spans="1:19" s="31" customFormat="1" ht="18" x14ac:dyDescent="0.2">
      <c r="A35" s="47"/>
      <c r="B35" s="72"/>
      <c r="C35" s="50"/>
      <c r="D35" s="123"/>
      <c r="E35" s="123"/>
      <c r="F35" s="123"/>
      <c r="G35" s="123"/>
      <c r="H35" s="123"/>
      <c r="I35" s="123"/>
      <c r="J35" s="123"/>
      <c r="K35" s="123"/>
      <c r="L35" s="123"/>
      <c r="M35" s="123"/>
      <c r="N35" s="123"/>
      <c r="O35" s="123"/>
      <c r="P35" s="123"/>
      <c r="Q35" s="123"/>
      <c r="R35" s="123"/>
      <c r="S35" s="111"/>
    </row>
    <row r="36" spans="1:19" s="31" customFormat="1" ht="18" x14ac:dyDescent="0.2">
      <c r="B36" s="47" t="s">
        <v>795</v>
      </c>
      <c r="C36" s="50"/>
      <c r="D36" s="123"/>
      <c r="E36" s="123"/>
      <c r="F36" s="123"/>
      <c r="G36" s="123"/>
      <c r="H36" s="123"/>
      <c r="I36" s="123"/>
      <c r="J36" s="123"/>
      <c r="K36" s="123"/>
      <c r="L36" s="123"/>
      <c r="M36" s="123"/>
      <c r="N36" s="123"/>
      <c r="O36" s="123"/>
      <c r="P36" s="123"/>
      <c r="Q36" s="123"/>
      <c r="R36" s="123"/>
      <c r="S36" s="111"/>
    </row>
    <row r="37" spans="1:19" s="31" customFormat="1" ht="18" x14ac:dyDescent="0.2">
      <c r="A37" s="47"/>
      <c r="B37" s="65" t="str">
        <f>'Revenue Input'!B33</f>
        <v>8660</v>
      </c>
      <c r="C37" s="65" t="str">
        <f>'Revenue Input'!C33</f>
        <v>Interest</v>
      </c>
      <c r="D37" s="115">
        <f>'Cash Flow %s Yr4'!D37</f>
        <v>8.3000000000000004E-2</v>
      </c>
      <c r="E37" s="115">
        <f>'Cash Flow %s Yr4'!E37</f>
        <v>8.3000000000000004E-2</v>
      </c>
      <c r="F37" s="115">
        <f>'Cash Flow %s Yr4'!F37</f>
        <v>8.3000000000000004E-2</v>
      </c>
      <c r="G37" s="115">
        <f>'Cash Flow %s Yr4'!G37</f>
        <v>8.3000000000000004E-2</v>
      </c>
      <c r="H37" s="115">
        <f>'Cash Flow %s Yr4'!H37</f>
        <v>8.3000000000000004E-2</v>
      </c>
      <c r="I37" s="115">
        <f>'Cash Flow %s Yr4'!I37</f>
        <v>8.3000000000000004E-2</v>
      </c>
      <c r="J37" s="115">
        <f>'Cash Flow %s Yr4'!J37</f>
        <v>8.3000000000000004E-2</v>
      </c>
      <c r="K37" s="115">
        <f>'Cash Flow %s Yr4'!K37</f>
        <v>8.3000000000000004E-2</v>
      </c>
      <c r="L37" s="115">
        <f>'Cash Flow %s Yr4'!L37</f>
        <v>8.4000000000000005E-2</v>
      </c>
      <c r="M37" s="115">
        <f>'Cash Flow %s Yr4'!M37</f>
        <v>8.4000000000000005E-2</v>
      </c>
      <c r="N37" s="115">
        <f>'Cash Flow %s Yr4'!N37</f>
        <v>8.4000000000000005E-2</v>
      </c>
      <c r="O37" s="115">
        <f>'Cash Flow %s Yr4'!O37</f>
        <v>8.4000000000000005E-2</v>
      </c>
      <c r="P37" s="115">
        <f>'Cash Flow %s Yr4'!P37</f>
        <v>0</v>
      </c>
      <c r="Q37" s="115">
        <f>'Cash Flow %s Yr4'!Q37</f>
        <v>0</v>
      </c>
      <c r="R37" s="115">
        <f>'Cash Flow %s Yr4'!R37</f>
        <v>0</v>
      </c>
      <c r="S37" s="111">
        <f t="shared" ref="S37:S49" si="3">SUM(D37:R37)</f>
        <v>0.99999999999999989</v>
      </c>
    </row>
    <row r="38" spans="1:19" s="31" customFormat="1" ht="18" x14ac:dyDescent="0.2">
      <c r="A38" s="47"/>
      <c r="B38" s="65" t="str">
        <f>'Revenue Input'!B34</f>
        <v>8782</v>
      </c>
      <c r="C38" s="65" t="str">
        <f>'Revenue Input'!C34</f>
        <v>All Other Transfers from County Offices</v>
      </c>
      <c r="D38" s="115">
        <f>'Cash Flow %s Yr4'!D38</f>
        <v>0</v>
      </c>
      <c r="E38" s="115">
        <f>'Cash Flow %s Yr4'!E38</f>
        <v>0</v>
      </c>
      <c r="F38" s="115">
        <f>'Cash Flow %s Yr4'!F38</f>
        <v>0.1</v>
      </c>
      <c r="G38" s="115">
        <f>'Cash Flow %s Yr4'!G38</f>
        <v>0.1</v>
      </c>
      <c r="H38" s="115">
        <f>'Cash Flow %s Yr4'!H38</f>
        <v>0.1</v>
      </c>
      <c r="I38" s="115">
        <f>'Cash Flow %s Yr4'!I38</f>
        <v>0.1</v>
      </c>
      <c r="J38" s="115">
        <f>'Cash Flow %s Yr4'!J38</f>
        <v>0.1</v>
      </c>
      <c r="K38" s="115">
        <f>'Cash Flow %s Yr4'!K38</f>
        <v>0.1</v>
      </c>
      <c r="L38" s="115">
        <f>'Cash Flow %s Yr4'!L38</f>
        <v>0.1</v>
      </c>
      <c r="M38" s="115">
        <f>'Cash Flow %s Yr4'!M38</f>
        <v>0.1</v>
      </c>
      <c r="N38" s="115">
        <f>'Cash Flow %s Yr4'!N38</f>
        <v>0.1</v>
      </c>
      <c r="O38" s="115">
        <f>'Cash Flow %s Yr4'!O38</f>
        <v>0.1</v>
      </c>
      <c r="P38" s="115">
        <f>'Cash Flow %s Yr4'!P38</f>
        <v>0</v>
      </c>
      <c r="Q38" s="115">
        <f>'Cash Flow %s Yr4'!Q38</f>
        <v>0</v>
      </c>
      <c r="R38" s="115">
        <f>'Cash Flow %s Yr4'!R38</f>
        <v>0</v>
      </c>
      <c r="S38" s="111">
        <f t="shared" si="3"/>
        <v>0.99999999999999989</v>
      </c>
    </row>
    <row r="39" spans="1:19" s="31" customFormat="1" ht="18" x14ac:dyDescent="0.2">
      <c r="A39" s="47"/>
      <c r="B39" s="65" t="str">
        <f>'Revenue Input'!B35</f>
        <v>8784</v>
      </c>
      <c r="C39" s="65" t="str">
        <f>'Revenue Input'!C35</f>
        <v>All Other Transfers from Other Locations</v>
      </c>
      <c r="D39" s="115">
        <f>'Cash Flow %s Yr4'!D39</f>
        <v>0</v>
      </c>
      <c r="E39" s="115">
        <f>'Cash Flow %s Yr4'!E39</f>
        <v>0</v>
      </c>
      <c r="F39" s="115">
        <f>'Cash Flow %s Yr4'!F39</f>
        <v>0.1</v>
      </c>
      <c r="G39" s="115">
        <f>'Cash Flow %s Yr4'!G39</f>
        <v>0.1</v>
      </c>
      <c r="H39" s="115">
        <f>'Cash Flow %s Yr4'!H39</f>
        <v>0.1</v>
      </c>
      <c r="I39" s="115">
        <f>'Cash Flow %s Yr4'!I39</f>
        <v>0.1</v>
      </c>
      <c r="J39" s="115">
        <f>'Cash Flow %s Yr4'!J39</f>
        <v>0.1</v>
      </c>
      <c r="K39" s="115">
        <f>'Cash Flow %s Yr4'!K39</f>
        <v>0.1</v>
      </c>
      <c r="L39" s="115">
        <f>'Cash Flow %s Yr4'!L39</f>
        <v>0.1</v>
      </c>
      <c r="M39" s="115">
        <f>'Cash Flow %s Yr4'!M39</f>
        <v>0.1</v>
      </c>
      <c r="N39" s="115">
        <f>'Cash Flow %s Yr4'!N39</f>
        <v>0.1</v>
      </c>
      <c r="O39" s="115">
        <f>'Cash Flow %s Yr4'!O39</f>
        <v>0.1</v>
      </c>
      <c r="P39" s="115">
        <f>'Cash Flow %s Yr4'!P39</f>
        <v>0</v>
      </c>
      <c r="Q39" s="115">
        <f>'Cash Flow %s Yr4'!Q39</f>
        <v>0</v>
      </c>
      <c r="R39" s="115">
        <f>'Cash Flow %s Yr4'!R39</f>
        <v>0</v>
      </c>
      <c r="S39" s="111">
        <f t="shared" si="3"/>
        <v>0.99999999999999989</v>
      </c>
    </row>
    <row r="40" spans="1:19" s="31" customFormat="1" x14ac:dyDescent="0.2">
      <c r="A40" s="49"/>
      <c r="B40" s="65" t="str">
        <f>'Revenue Input'!B36</f>
        <v>8785</v>
      </c>
      <c r="C40" s="65" t="str">
        <f>'Revenue Input'!C36</f>
        <v>CMO Management fee</v>
      </c>
      <c r="D40" s="115">
        <f>'Cash Flow %s Yr4'!D40</f>
        <v>0</v>
      </c>
      <c r="E40" s="115">
        <f>'Cash Flow %s Yr4'!E40</f>
        <v>0</v>
      </c>
      <c r="F40" s="115">
        <f>'Cash Flow %s Yr4'!F40</f>
        <v>0.1</v>
      </c>
      <c r="G40" s="115">
        <f>'Cash Flow %s Yr4'!G40</f>
        <v>0.1</v>
      </c>
      <c r="H40" s="115">
        <f>'Cash Flow %s Yr4'!H40</f>
        <v>0.1</v>
      </c>
      <c r="I40" s="115">
        <f>'Cash Flow %s Yr4'!I40</f>
        <v>0.1</v>
      </c>
      <c r="J40" s="115">
        <f>'Cash Flow %s Yr4'!J40</f>
        <v>0.1</v>
      </c>
      <c r="K40" s="115">
        <f>'Cash Flow %s Yr4'!K40</f>
        <v>0.1</v>
      </c>
      <c r="L40" s="115">
        <f>'Cash Flow %s Yr4'!L40</f>
        <v>0.1</v>
      </c>
      <c r="M40" s="115">
        <f>'Cash Flow %s Yr4'!M40</f>
        <v>0.1</v>
      </c>
      <c r="N40" s="115">
        <f>'Cash Flow %s Yr4'!N40</f>
        <v>0.1</v>
      </c>
      <c r="O40" s="115">
        <f>'Cash Flow %s Yr4'!O40</f>
        <v>0.1</v>
      </c>
      <c r="P40" s="115">
        <f>'Cash Flow %s Yr4'!P40</f>
        <v>0</v>
      </c>
      <c r="Q40" s="115">
        <f>'Cash Flow %s Yr4'!Q40</f>
        <v>0</v>
      </c>
      <c r="R40" s="115">
        <f>'Cash Flow %s Yr4'!R40</f>
        <v>0</v>
      </c>
      <c r="S40" s="111">
        <f t="shared" si="3"/>
        <v>0.99999999999999989</v>
      </c>
    </row>
    <row r="41" spans="1:19" s="31" customFormat="1" x14ac:dyDescent="0.2">
      <c r="A41" s="50"/>
      <c r="B41" s="65" t="str">
        <f>'Revenue Input'!B37</f>
        <v>8792</v>
      </c>
      <c r="C41" s="65" t="str">
        <f>'Revenue Input'!C37</f>
        <v>Special Ed - AB 602</v>
      </c>
      <c r="D41" s="115">
        <f>'Cash Flow %s Yr4'!D41</f>
        <v>0</v>
      </c>
      <c r="E41" s="115">
        <f>'Cash Flow %s Yr4'!E41</f>
        <v>0</v>
      </c>
      <c r="F41" s="115">
        <f>'Cash Flow %s Yr4'!F41</f>
        <v>0.1</v>
      </c>
      <c r="G41" s="115">
        <f>'Cash Flow %s Yr4'!G41</f>
        <v>0.1</v>
      </c>
      <c r="H41" s="115">
        <f>'Cash Flow %s Yr4'!H41</f>
        <v>0.1</v>
      </c>
      <c r="I41" s="115">
        <f>'Cash Flow %s Yr4'!I41</f>
        <v>0.1</v>
      </c>
      <c r="J41" s="115">
        <f>'Cash Flow %s Yr4'!J41</f>
        <v>0.1</v>
      </c>
      <c r="K41" s="115">
        <f>'Cash Flow %s Yr4'!K41</f>
        <v>0.1</v>
      </c>
      <c r="L41" s="115">
        <f>'Cash Flow %s Yr4'!L41</f>
        <v>0.1</v>
      </c>
      <c r="M41" s="115">
        <f>'Cash Flow %s Yr4'!M41</f>
        <v>0.1</v>
      </c>
      <c r="N41" s="115">
        <f>'Cash Flow %s Yr4'!N41</f>
        <v>0.1</v>
      </c>
      <c r="O41" s="115">
        <f>'Cash Flow %s Yr4'!O41</f>
        <v>0.1</v>
      </c>
      <c r="P41" s="115">
        <f>'Cash Flow %s Yr4'!P41</f>
        <v>0</v>
      </c>
      <c r="Q41" s="115">
        <f>'Cash Flow %s Yr4'!Q41</f>
        <v>0</v>
      </c>
      <c r="R41" s="115">
        <f>'Cash Flow %s Yr4'!R41</f>
        <v>0</v>
      </c>
      <c r="S41" s="111">
        <f t="shared" si="3"/>
        <v>0.99999999999999989</v>
      </c>
    </row>
    <row r="42" spans="1:19" s="31" customFormat="1" ht="18" x14ac:dyDescent="0.2">
      <c r="A42" s="47"/>
      <c r="B42" s="65" t="str">
        <f>'Revenue Input'!B38</f>
        <v>8980</v>
      </c>
      <c r="C42" s="65" t="str">
        <f>'Revenue Input'!C38</f>
        <v>Student Lunch Revenue</v>
      </c>
      <c r="D42" s="115">
        <f>'Cash Flow %s Yr4'!D42</f>
        <v>0</v>
      </c>
      <c r="E42" s="115">
        <f>'Cash Flow %s Yr4'!E42</f>
        <v>0</v>
      </c>
      <c r="F42" s="115">
        <f>'Cash Flow %s Yr4'!F42</f>
        <v>0.1</v>
      </c>
      <c r="G42" s="115">
        <f>'Cash Flow %s Yr4'!G42</f>
        <v>0.1</v>
      </c>
      <c r="H42" s="115">
        <f>'Cash Flow %s Yr4'!H42</f>
        <v>0.1</v>
      </c>
      <c r="I42" s="115">
        <f>'Cash Flow %s Yr4'!I42</f>
        <v>0.1</v>
      </c>
      <c r="J42" s="115">
        <f>'Cash Flow %s Yr4'!J42</f>
        <v>0.1</v>
      </c>
      <c r="K42" s="115">
        <f>'Cash Flow %s Yr4'!K42</f>
        <v>0.1</v>
      </c>
      <c r="L42" s="115">
        <f>'Cash Flow %s Yr4'!L42</f>
        <v>0.1</v>
      </c>
      <c r="M42" s="115">
        <f>'Cash Flow %s Yr4'!M42</f>
        <v>0.1</v>
      </c>
      <c r="N42" s="115">
        <f>'Cash Flow %s Yr4'!N42</f>
        <v>0.1</v>
      </c>
      <c r="O42" s="115">
        <f>'Cash Flow %s Yr4'!O42</f>
        <v>0.1</v>
      </c>
      <c r="P42" s="115">
        <f>'Cash Flow %s Yr4'!P42</f>
        <v>0</v>
      </c>
      <c r="Q42" s="115">
        <f>'Cash Flow %s Yr4'!Q42</f>
        <v>0</v>
      </c>
      <c r="R42" s="115">
        <f>'Cash Flow %s Yr4'!R42</f>
        <v>0</v>
      </c>
      <c r="S42" s="111">
        <f t="shared" si="3"/>
        <v>0.99999999999999989</v>
      </c>
    </row>
    <row r="43" spans="1:19" s="31" customFormat="1" ht="18" x14ac:dyDescent="0.2">
      <c r="A43" s="47"/>
      <c r="B43" s="65" t="str">
        <f>'Revenue Input'!B39</f>
        <v>8982</v>
      </c>
      <c r="C43" s="65" t="str">
        <f>'Revenue Input'!C39</f>
        <v>Foundation Grants</v>
      </c>
      <c r="D43" s="115">
        <f>'Cash Flow %s Yr4'!D43</f>
        <v>0</v>
      </c>
      <c r="E43" s="115">
        <f>'Cash Flow %s Yr4'!E43</f>
        <v>0</v>
      </c>
      <c r="F43" s="115">
        <f>'Cash Flow %s Yr4'!F43</f>
        <v>0.1</v>
      </c>
      <c r="G43" s="115">
        <f>'Cash Flow %s Yr4'!G43</f>
        <v>0.1</v>
      </c>
      <c r="H43" s="115">
        <f>'Cash Flow %s Yr4'!H43</f>
        <v>0.1</v>
      </c>
      <c r="I43" s="115">
        <f>'Cash Flow %s Yr4'!I43</f>
        <v>0.1</v>
      </c>
      <c r="J43" s="115">
        <f>'Cash Flow %s Yr4'!J43</f>
        <v>0.1</v>
      </c>
      <c r="K43" s="115">
        <f>'Cash Flow %s Yr4'!K43</f>
        <v>0.1</v>
      </c>
      <c r="L43" s="115">
        <f>'Cash Flow %s Yr4'!L43</f>
        <v>0.1</v>
      </c>
      <c r="M43" s="115">
        <f>'Cash Flow %s Yr4'!M43</f>
        <v>0.1</v>
      </c>
      <c r="N43" s="115">
        <f>'Cash Flow %s Yr4'!N43</f>
        <v>0.1</v>
      </c>
      <c r="O43" s="115">
        <f>'Cash Flow %s Yr4'!O43</f>
        <v>0.1</v>
      </c>
      <c r="P43" s="115">
        <f>'Cash Flow %s Yr4'!P43</f>
        <v>0</v>
      </c>
      <c r="Q43" s="115">
        <f>'Cash Flow %s Yr4'!Q43</f>
        <v>0</v>
      </c>
      <c r="R43" s="115">
        <f>'Cash Flow %s Yr4'!R43</f>
        <v>0</v>
      </c>
      <c r="S43" s="111">
        <f t="shared" si="3"/>
        <v>0.99999999999999989</v>
      </c>
    </row>
    <row r="44" spans="1:19" s="31" customFormat="1" ht="18" x14ac:dyDescent="0.2">
      <c r="A44" s="47"/>
      <c r="B44" s="65" t="str">
        <f>'Revenue Input'!B40</f>
        <v>8983</v>
      </c>
      <c r="C44" s="65" t="str">
        <f>'Revenue Input'!C40</f>
        <v>All Other Local Revenue</v>
      </c>
      <c r="D44" s="115">
        <f>'Cash Flow %s Yr4'!D44</f>
        <v>0</v>
      </c>
      <c r="E44" s="115">
        <f>'Cash Flow %s Yr4'!E44</f>
        <v>0</v>
      </c>
      <c r="F44" s="115">
        <f>'Cash Flow %s Yr4'!F44</f>
        <v>0</v>
      </c>
      <c r="G44" s="115">
        <f>'Cash Flow %s Yr4'!G44</f>
        <v>0</v>
      </c>
      <c r="H44" s="115">
        <f>'Cash Flow %s Yr4'!H44</f>
        <v>0.1</v>
      </c>
      <c r="I44" s="115">
        <f>'Cash Flow %s Yr4'!I44</f>
        <v>0.1</v>
      </c>
      <c r="J44" s="115">
        <f>'Cash Flow %s Yr4'!J44</f>
        <v>0.1</v>
      </c>
      <c r="K44" s="115">
        <f>'Cash Flow %s Yr4'!K44</f>
        <v>0.1</v>
      </c>
      <c r="L44" s="115">
        <f>'Cash Flow %s Yr4'!L44</f>
        <v>0.1</v>
      </c>
      <c r="M44" s="115">
        <f>'Cash Flow %s Yr4'!M44</f>
        <v>0.1</v>
      </c>
      <c r="N44" s="115">
        <f>'Cash Flow %s Yr4'!N44</f>
        <v>0.1</v>
      </c>
      <c r="O44" s="115">
        <f>'Cash Flow %s Yr4'!O44</f>
        <v>0.1</v>
      </c>
      <c r="P44" s="115">
        <f>'Cash Flow %s Yr4'!P44</f>
        <v>0.1</v>
      </c>
      <c r="Q44" s="115">
        <f>'Cash Flow %s Yr4'!Q44</f>
        <v>0.1</v>
      </c>
      <c r="R44" s="115">
        <f>'Cash Flow %s Yr4'!R44</f>
        <v>0</v>
      </c>
      <c r="S44" s="111">
        <f t="shared" si="3"/>
        <v>0.99999999999999989</v>
      </c>
    </row>
    <row r="45" spans="1:19" s="31" customFormat="1" ht="18" x14ac:dyDescent="0.2">
      <c r="A45" s="47"/>
      <c r="B45" s="65" t="str">
        <f>'Revenue Input'!B41</f>
        <v>8984</v>
      </c>
      <c r="C45" s="65" t="str">
        <f>'Revenue Input'!C41</f>
        <v>Student Body (ASB) Fundraising Revenue</v>
      </c>
      <c r="D45" s="115">
        <f>'Cash Flow %s Yr4'!D45</f>
        <v>0</v>
      </c>
      <c r="E45" s="115">
        <f>'Cash Flow %s Yr4'!E45</f>
        <v>0</v>
      </c>
      <c r="F45" s="115">
        <f>'Cash Flow %s Yr4'!F45</f>
        <v>0.1</v>
      </c>
      <c r="G45" s="115">
        <f>'Cash Flow %s Yr4'!G45</f>
        <v>0.1</v>
      </c>
      <c r="H45" s="115">
        <f>'Cash Flow %s Yr4'!H45</f>
        <v>0.1</v>
      </c>
      <c r="I45" s="115">
        <f>'Cash Flow %s Yr4'!I45</f>
        <v>0.1</v>
      </c>
      <c r="J45" s="115">
        <f>'Cash Flow %s Yr4'!J45</f>
        <v>0.1</v>
      </c>
      <c r="K45" s="115">
        <f>'Cash Flow %s Yr4'!K45</f>
        <v>0.1</v>
      </c>
      <c r="L45" s="115">
        <f>'Cash Flow %s Yr4'!L45</f>
        <v>0.1</v>
      </c>
      <c r="M45" s="115">
        <f>'Cash Flow %s Yr4'!M45</f>
        <v>0.1</v>
      </c>
      <c r="N45" s="115">
        <f>'Cash Flow %s Yr4'!N45</f>
        <v>0.1</v>
      </c>
      <c r="O45" s="115">
        <f>'Cash Flow %s Yr4'!O45</f>
        <v>0.1</v>
      </c>
      <c r="P45" s="115">
        <f>'Cash Flow %s Yr4'!P45</f>
        <v>0</v>
      </c>
      <c r="Q45" s="115">
        <f>'Cash Flow %s Yr4'!Q45</f>
        <v>0</v>
      </c>
      <c r="R45" s="115">
        <f>'Cash Flow %s Yr4'!R45</f>
        <v>0</v>
      </c>
      <c r="S45" s="111">
        <f t="shared" si="3"/>
        <v>0.99999999999999989</v>
      </c>
    </row>
    <row r="46" spans="1:19" s="31" customFormat="1" ht="18" x14ac:dyDescent="0.2">
      <c r="A46" s="47"/>
      <c r="B46" s="65" t="str">
        <f>'Revenue Input'!B42</f>
        <v>8985</v>
      </c>
      <c r="C46" s="65" t="str">
        <f>'Revenue Input'!C42</f>
        <v>School Site Fundraising</v>
      </c>
      <c r="D46" s="115">
        <f>'Cash Flow %s Yr4'!D46</f>
        <v>0</v>
      </c>
      <c r="E46" s="115">
        <f>'Cash Flow %s Yr4'!E46</f>
        <v>0</v>
      </c>
      <c r="F46" s="115">
        <f>'Cash Flow %s Yr4'!F46</f>
        <v>0.1</v>
      </c>
      <c r="G46" s="115">
        <f>'Cash Flow %s Yr4'!G46</f>
        <v>0.1</v>
      </c>
      <c r="H46" s="115">
        <f>'Cash Flow %s Yr4'!H46</f>
        <v>0.1</v>
      </c>
      <c r="I46" s="115">
        <f>'Cash Flow %s Yr4'!I46</f>
        <v>0.1</v>
      </c>
      <c r="J46" s="115">
        <f>'Cash Flow %s Yr4'!J46</f>
        <v>0.1</v>
      </c>
      <c r="K46" s="115">
        <f>'Cash Flow %s Yr4'!K46</f>
        <v>0.1</v>
      </c>
      <c r="L46" s="115">
        <f>'Cash Flow %s Yr4'!L46</f>
        <v>0.1</v>
      </c>
      <c r="M46" s="115">
        <f>'Cash Flow %s Yr4'!M46</f>
        <v>0.1</v>
      </c>
      <c r="N46" s="115">
        <f>'Cash Flow %s Yr4'!N46</f>
        <v>0.1</v>
      </c>
      <c r="O46" s="115">
        <f>'Cash Flow %s Yr4'!O46</f>
        <v>0.1</v>
      </c>
      <c r="P46" s="115">
        <f>'Cash Flow %s Yr4'!P46</f>
        <v>0</v>
      </c>
      <c r="Q46" s="115">
        <f>'Cash Flow %s Yr4'!Q46</f>
        <v>0</v>
      </c>
      <c r="R46" s="115">
        <f>'Cash Flow %s Yr4'!R46</f>
        <v>0</v>
      </c>
      <c r="S46" s="111">
        <f>SUM(D46:R46)</f>
        <v>0.99999999999999989</v>
      </c>
    </row>
    <row r="47" spans="1:19" s="31" customFormat="1" ht="18" x14ac:dyDescent="0.2">
      <c r="A47" s="47"/>
      <c r="B47" s="65" t="str">
        <f>'Revenue Input'!B43</f>
        <v>8986</v>
      </c>
      <c r="C47" s="65" t="str">
        <f>'Revenue Input'!C43</f>
        <v>Rental Income</v>
      </c>
      <c r="D47" s="115">
        <f>'Cash Flow %s Yr4'!D47</f>
        <v>0</v>
      </c>
      <c r="E47" s="115">
        <f>'Cash Flow %s Yr4'!E47</f>
        <v>0</v>
      </c>
      <c r="F47" s="115">
        <f>'Cash Flow %s Yr4'!F47</f>
        <v>0.1</v>
      </c>
      <c r="G47" s="115">
        <f>'Cash Flow %s Yr4'!G47</f>
        <v>0.1</v>
      </c>
      <c r="H47" s="115">
        <f>'Cash Flow %s Yr4'!H47</f>
        <v>0.1</v>
      </c>
      <c r="I47" s="115">
        <f>'Cash Flow %s Yr4'!I47</f>
        <v>0.1</v>
      </c>
      <c r="J47" s="115">
        <f>'Cash Flow %s Yr4'!J47</f>
        <v>0.1</v>
      </c>
      <c r="K47" s="115">
        <f>'Cash Flow %s Yr4'!K47</f>
        <v>0.1</v>
      </c>
      <c r="L47" s="115">
        <f>'Cash Flow %s Yr4'!L47</f>
        <v>0.1</v>
      </c>
      <c r="M47" s="115">
        <f>'Cash Flow %s Yr4'!M47</f>
        <v>0.1</v>
      </c>
      <c r="N47" s="115">
        <f>'Cash Flow %s Yr4'!N47</f>
        <v>0.1</v>
      </c>
      <c r="O47" s="115">
        <f>'Cash Flow %s Yr4'!O47</f>
        <v>0.1</v>
      </c>
      <c r="P47" s="115">
        <f>'Cash Flow %s Yr4'!P47</f>
        <v>0</v>
      </c>
      <c r="Q47" s="115">
        <f>'Cash Flow %s Yr4'!Q47</f>
        <v>0</v>
      </c>
      <c r="R47" s="115">
        <f>'Cash Flow %s Yr4'!R47</f>
        <v>0</v>
      </c>
      <c r="S47" s="111">
        <f>SUM(D47:R47)</f>
        <v>0.99999999999999989</v>
      </c>
    </row>
    <row r="48" spans="1:19" s="31" customFormat="1" ht="18" x14ac:dyDescent="0.2">
      <c r="A48" s="47"/>
      <c r="B48" s="65" t="str">
        <f>'Revenue Input'!B44</f>
        <v>8989</v>
      </c>
      <c r="C48" s="65" t="str">
        <f>'Revenue Input'!C44</f>
        <v>Fees for Service</v>
      </c>
      <c r="D48" s="115">
        <f>'Cash Flow %s Yr4'!D48</f>
        <v>0</v>
      </c>
      <c r="E48" s="115">
        <f>'Cash Flow %s Yr4'!E48</f>
        <v>0</v>
      </c>
      <c r="F48" s="115">
        <f>'Cash Flow %s Yr4'!F48</f>
        <v>0.1</v>
      </c>
      <c r="G48" s="115">
        <f>'Cash Flow %s Yr4'!G48</f>
        <v>0.1</v>
      </c>
      <c r="H48" s="115">
        <f>'Cash Flow %s Yr4'!H48</f>
        <v>0.1</v>
      </c>
      <c r="I48" s="115">
        <f>'Cash Flow %s Yr4'!I48</f>
        <v>0.1</v>
      </c>
      <c r="J48" s="115">
        <f>'Cash Flow %s Yr4'!J48</f>
        <v>0.1</v>
      </c>
      <c r="K48" s="115">
        <f>'Cash Flow %s Yr4'!K48</f>
        <v>0.1</v>
      </c>
      <c r="L48" s="115">
        <f>'Cash Flow %s Yr4'!L48</f>
        <v>0.1</v>
      </c>
      <c r="M48" s="115">
        <f>'Cash Flow %s Yr4'!M48</f>
        <v>0.1</v>
      </c>
      <c r="N48" s="115">
        <f>'Cash Flow %s Yr4'!N48</f>
        <v>0.1</v>
      </c>
      <c r="O48" s="115">
        <f>'Cash Flow %s Yr4'!O48</f>
        <v>0.1</v>
      </c>
      <c r="P48" s="115">
        <f>'Cash Flow %s Yr4'!P48</f>
        <v>0</v>
      </c>
      <c r="Q48" s="115">
        <f>'Cash Flow %s Yr4'!Q48</f>
        <v>0</v>
      </c>
      <c r="R48" s="115">
        <f>'Cash Flow %s Yr4'!R48</f>
        <v>0</v>
      </c>
      <c r="S48" s="111">
        <f>SUM(D48:R48)</f>
        <v>0.99999999999999989</v>
      </c>
    </row>
    <row r="49" spans="1:19" s="31" customFormat="1" ht="18" x14ac:dyDescent="0.2">
      <c r="A49" s="47"/>
      <c r="B49" s="65" t="str">
        <f>'Revenue Input'!B45</f>
        <v>8999</v>
      </c>
      <c r="C49" s="65" t="str">
        <f>'Revenue Input'!C45</f>
        <v>Revenue Suspense</v>
      </c>
      <c r="D49" s="115">
        <f>'Cash Flow %s Yr4'!D49</f>
        <v>0</v>
      </c>
      <c r="E49" s="115">
        <f>'Cash Flow %s Yr4'!E49</f>
        <v>0</v>
      </c>
      <c r="F49" s="115">
        <f>'Cash Flow %s Yr4'!F49</f>
        <v>0.1</v>
      </c>
      <c r="G49" s="115">
        <f>'Cash Flow %s Yr4'!G49</f>
        <v>0.1</v>
      </c>
      <c r="H49" s="115">
        <f>'Cash Flow %s Yr4'!H49</f>
        <v>0.1</v>
      </c>
      <c r="I49" s="115">
        <f>'Cash Flow %s Yr4'!I49</f>
        <v>0.1</v>
      </c>
      <c r="J49" s="115">
        <f>'Cash Flow %s Yr4'!J49</f>
        <v>0.1</v>
      </c>
      <c r="K49" s="115">
        <f>'Cash Flow %s Yr4'!K49</f>
        <v>0.1</v>
      </c>
      <c r="L49" s="115">
        <f>'Cash Flow %s Yr4'!L49</f>
        <v>0.1</v>
      </c>
      <c r="M49" s="115">
        <f>'Cash Flow %s Yr4'!M49</f>
        <v>0.1</v>
      </c>
      <c r="N49" s="115">
        <f>'Cash Flow %s Yr4'!N49</f>
        <v>0.1</v>
      </c>
      <c r="O49" s="115">
        <f>'Cash Flow %s Yr4'!O49</f>
        <v>0.1</v>
      </c>
      <c r="P49" s="115">
        <f>'Cash Flow %s Yr4'!P49</f>
        <v>0</v>
      </c>
      <c r="Q49" s="115">
        <f>'Cash Flow %s Yr4'!Q49</f>
        <v>0</v>
      </c>
      <c r="R49" s="115">
        <f>'Cash Flow %s Yr4'!R49</f>
        <v>0</v>
      </c>
      <c r="S49" s="111">
        <f t="shared" si="3"/>
        <v>0.99999999999999989</v>
      </c>
    </row>
    <row r="50" spans="1:19" s="31" customFormat="1" ht="18" x14ac:dyDescent="0.2">
      <c r="A50" s="47"/>
      <c r="B50" s="72"/>
      <c r="C50" s="50"/>
      <c r="D50" s="119"/>
      <c r="E50" s="119"/>
      <c r="F50" s="119"/>
      <c r="G50" s="119"/>
      <c r="H50" s="119"/>
      <c r="I50" s="119"/>
      <c r="J50" s="119"/>
      <c r="K50" s="119"/>
      <c r="L50" s="119"/>
      <c r="M50" s="119"/>
      <c r="N50" s="119"/>
      <c r="O50" s="119"/>
      <c r="P50" s="100"/>
      <c r="Q50" s="100"/>
      <c r="R50" s="100"/>
      <c r="S50" s="111"/>
    </row>
    <row r="51" spans="1:19" s="31" customFormat="1" ht="18" x14ac:dyDescent="0.2">
      <c r="A51" s="47"/>
      <c r="B51" s="72"/>
      <c r="C51" s="50"/>
      <c r="D51" s="119"/>
      <c r="E51" s="119"/>
      <c r="F51" s="119"/>
      <c r="G51" s="119"/>
      <c r="H51" s="119"/>
      <c r="I51" s="119"/>
      <c r="J51" s="119"/>
      <c r="K51" s="119"/>
      <c r="L51" s="119"/>
      <c r="M51" s="119"/>
      <c r="N51" s="119"/>
      <c r="O51" s="119"/>
      <c r="P51" s="100"/>
      <c r="Q51" s="100"/>
      <c r="R51" s="100"/>
      <c r="S51" s="111"/>
    </row>
    <row r="52" spans="1:19" s="31" customFormat="1" ht="18" x14ac:dyDescent="0.2">
      <c r="A52" s="47"/>
      <c r="B52" s="72"/>
      <c r="C52" s="50"/>
      <c r="D52" s="100"/>
      <c r="E52" s="100"/>
      <c r="F52" s="100"/>
      <c r="G52" s="100"/>
      <c r="H52" s="100"/>
      <c r="I52" s="100"/>
      <c r="J52" s="100"/>
      <c r="K52" s="100"/>
      <c r="L52" s="100"/>
      <c r="M52" s="100"/>
      <c r="N52" s="100"/>
      <c r="O52" s="100"/>
      <c r="P52" s="100"/>
      <c r="Q52" s="100"/>
      <c r="R52" s="100"/>
      <c r="S52" s="111"/>
    </row>
    <row r="53" spans="1:19" s="31" customFormat="1" ht="18" x14ac:dyDescent="0.2">
      <c r="A53" s="47" t="s">
        <v>802</v>
      </c>
      <c r="B53" s="73"/>
      <c r="C53" s="34"/>
      <c r="D53" s="101"/>
      <c r="E53" s="101"/>
      <c r="F53" s="101"/>
      <c r="G53" s="101"/>
      <c r="H53" s="101"/>
      <c r="I53" s="101"/>
      <c r="J53" s="101"/>
      <c r="K53" s="101"/>
      <c r="L53" s="101"/>
      <c r="M53" s="101"/>
      <c r="N53" s="101"/>
      <c r="O53" s="101"/>
      <c r="P53" s="101"/>
      <c r="Q53" s="101"/>
      <c r="R53" s="101"/>
      <c r="S53" s="111"/>
    </row>
    <row r="54" spans="1:19" x14ac:dyDescent="0.2">
      <c r="A54" s="1"/>
      <c r="B54" s="34" t="s">
        <v>733</v>
      </c>
      <c r="C54" s="3"/>
      <c r="S54" s="182"/>
    </row>
    <row r="55" spans="1:19" x14ac:dyDescent="0.2">
      <c r="A55" s="36"/>
      <c r="B55" s="67" t="str">
        <f>'Expenses Summary'!B8</f>
        <v>1100</v>
      </c>
      <c r="C55" s="67" t="str">
        <f>'Expenses Summary'!C8</f>
        <v>Teachers'  Salaries</v>
      </c>
      <c r="D55" s="112">
        <f>'Cash Flow %s Yr4'!D55</f>
        <v>8.3000000000000004E-2</v>
      </c>
      <c r="E55" s="112">
        <f>'Cash Flow %s Yr4'!E55</f>
        <v>8.3000000000000004E-2</v>
      </c>
      <c r="F55" s="112">
        <f>'Cash Flow %s Yr4'!F55</f>
        <v>8.3000000000000004E-2</v>
      </c>
      <c r="G55" s="112">
        <f>'Cash Flow %s Yr4'!G55</f>
        <v>8.3000000000000004E-2</v>
      </c>
      <c r="H55" s="112">
        <f>'Cash Flow %s Yr4'!H55</f>
        <v>8.3000000000000004E-2</v>
      </c>
      <c r="I55" s="112">
        <f>'Cash Flow %s Yr4'!I55</f>
        <v>8.3000000000000004E-2</v>
      </c>
      <c r="J55" s="112">
        <f>'Cash Flow %s Yr4'!J55</f>
        <v>8.3000000000000004E-2</v>
      </c>
      <c r="K55" s="112">
        <f>'Cash Flow %s Yr4'!K55</f>
        <v>8.3000000000000004E-2</v>
      </c>
      <c r="L55" s="112">
        <f>'Cash Flow %s Yr4'!L55</f>
        <v>8.4000000000000005E-2</v>
      </c>
      <c r="M55" s="112">
        <f>'Cash Flow %s Yr4'!M55</f>
        <v>8.4000000000000005E-2</v>
      </c>
      <c r="N55" s="112">
        <f>'Cash Flow %s Yr4'!N55</f>
        <v>8.4000000000000005E-2</v>
      </c>
      <c r="O55" s="112">
        <f>'Cash Flow %s Yr4'!O55</f>
        <v>8.4000000000000005E-2</v>
      </c>
      <c r="P55" s="112">
        <f>'Cash Flow %s Yr4'!P55</f>
        <v>0</v>
      </c>
      <c r="Q55" s="112">
        <f>'Cash Flow %s Yr4'!Q55</f>
        <v>0</v>
      </c>
      <c r="R55" s="112">
        <f>'Cash Flow %s Yr4'!R55</f>
        <v>0</v>
      </c>
      <c r="S55" s="111">
        <f t="shared" ref="S55:S62" si="4">SUM(D55:R55)</f>
        <v>0.99999999999999989</v>
      </c>
    </row>
    <row r="56" spans="1:19" x14ac:dyDescent="0.2">
      <c r="A56" s="36"/>
      <c r="B56" s="67" t="str">
        <f>'Expenses Summary'!B9</f>
        <v>1105</v>
      </c>
      <c r="C56" s="67" t="str">
        <f>'Expenses Summary'!C9</f>
        <v>Teachers'  Bonuses</v>
      </c>
      <c r="D56" s="112">
        <f>'Cash Flow %s Yr4'!D56</f>
        <v>0</v>
      </c>
      <c r="E56" s="112">
        <f>'Cash Flow %s Yr4'!E56</f>
        <v>0</v>
      </c>
      <c r="F56" s="112">
        <f>'Cash Flow %s Yr4'!F56</f>
        <v>0</v>
      </c>
      <c r="G56" s="112">
        <f>'Cash Flow %s Yr4'!G56</f>
        <v>0</v>
      </c>
      <c r="H56" s="112">
        <f>'Cash Flow %s Yr4'!H56</f>
        <v>0</v>
      </c>
      <c r="I56" s="112">
        <f>'Cash Flow %s Yr4'!I56</f>
        <v>1</v>
      </c>
      <c r="J56" s="112">
        <f>'Cash Flow %s Yr4'!J56</f>
        <v>0</v>
      </c>
      <c r="K56" s="112">
        <f>'Cash Flow %s Yr4'!K56</f>
        <v>0</v>
      </c>
      <c r="L56" s="112">
        <f>'Cash Flow %s Yr4'!L56</f>
        <v>0</v>
      </c>
      <c r="M56" s="112">
        <f>'Cash Flow %s Yr4'!M56</f>
        <v>0</v>
      </c>
      <c r="N56" s="112">
        <f>'Cash Flow %s Yr4'!N56</f>
        <v>0</v>
      </c>
      <c r="O56" s="112">
        <f>'Cash Flow %s Yr4'!O56</f>
        <v>0</v>
      </c>
      <c r="P56" s="112">
        <f>'Cash Flow %s Yr4'!P56</f>
        <v>0</v>
      </c>
      <c r="Q56" s="112">
        <f>'Cash Flow %s Yr4'!Q56</f>
        <v>0</v>
      </c>
      <c r="R56" s="112">
        <f>'Cash Flow %s Yr4'!R56</f>
        <v>0</v>
      </c>
      <c r="S56" s="111">
        <f t="shared" si="4"/>
        <v>1</v>
      </c>
    </row>
    <row r="57" spans="1:19" x14ac:dyDescent="0.2">
      <c r="A57" s="36"/>
      <c r="B57" s="67" t="str">
        <f>'Expenses Summary'!B10</f>
        <v>1120</v>
      </c>
      <c r="C57" s="67" t="str">
        <f>'Expenses Summary'!C10</f>
        <v>Substitute Expense</v>
      </c>
      <c r="D57" s="112">
        <f>'Cash Flow %s Yr4'!D57</f>
        <v>0</v>
      </c>
      <c r="E57" s="112">
        <f>'Cash Flow %s Yr4'!E57</f>
        <v>0</v>
      </c>
      <c r="F57" s="112">
        <f>'Cash Flow %s Yr4'!F57</f>
        <v>0.1</v>
      </c>
      <c r="G57" s="112">
        <f>'Cash Flow %s Yr4'!G57</f>
        <v>0.1</v>
      </c>
      <c r="H57" s="112">
        <f>'Cash Flow %s Yr4'!H57</f>
        <v>0.1</v>
      </c>
      <c r="I57" s="112">
        <f>'Cash Flow %s Yr4'!I57</f>
        <v>0.1</v>
      </c>
      <c r="J57" s="112">
        <f>'Cash Flow %s Yr4'!J57</f>
        <v>0.1</v>
      </c>
      <c r="K57" s="112">
        <f>'Cash Flow %s Yr4'!K57</f>
        <v>0.1</v>
      </c>
      <c r="L57" s="112">
        <f>'Cash Flow %s Yr4'!L57</f>
        <v>0.1</v>
      </c>
      <c r="M57" s="112">
        <f>'Cash Flow %s Yr4'!M57</f>
        <v>0.1</v>
      </c>
      <c r="N57" s="112">
        <f>'Cash Flow %s Yr4'!N57</f>
        <v>0.1</v>
      </c>
      <c r="O57" s="112">
        <f>'Cash Flow %s Yr4'!O57</f>
        <v>0.1</v>
      </c>
      <c r="P57" s="112">
        <f>'Cash Flow %s Yr4'!P57</f>
        <v>0</v>
      </c>
      <c r="Q57" s="112">
        <f>'Cash Flow %s Yr4'!Q57</f>
        <v>0</v>
      </c>
      <c r="R57" s="112">
        <f>'Cash Flow %s Yr4'!R57</f>
        <v>0</v>
      </c>
      <c r="S57" s="111">
        <f t="shared" si="4"/>
        <v>0.99999999999999989</v>
      </c>
    </row>
    <row r="58" spans="1:19" x14ac:dyDescent="0.2">
      <c r="A58" s="36"/>
      <c r="B58" s="67" t="str">
        <f>'Expenses Summary'!B11</f>
        <v>1200</v>
      </c>
      <c r="C58" s="67" t="str">
        <f>'Expenses Summary'!C11</f>
        <v>Certificated Pupil Support Salaries</v>
      </c>
      <c r="D58" s="112">
        <f>'Cash Flow %s Yr4'!D58</f>
        <v>0</v>
      </c>
      <c r="E58" s="112">
        <f>'Cash Flow %s Yr4'!E58</f>
        <v>0</v>
      </c>
      <c r="F58" s="112">
        <f>'Cash Flow %s Yr4'!F58</f>
        <v>0.1</v>
      </c>
      <c r="G58" s="112">
        <f>'Cash Flow %s Yr4'!G58</f>
        <v>0.1</v>
      </c>
      <c r="H58" s="112">
        <f>'Cash Flow %s Yr4'!H58</f>
        <v>0.1</v>
      </c>
      <c r="I58" s="112">
        <f>'Cash Flow %s Yr4'!I58</f>
        <v>0.1</v>
      </c>
      <c r="J58" s="112">
        <f>'Cash Flow %s Yr4'!J58</f>
        <v>0.1</v>
      </c>
      <c r="K58" s="112">
        <f>'Cash Flow %s Yr4'!K58</f>
        <v>0.1</v>
      </c>
      <c r="L58" s="112">
        <f>'Cash Flow %s Yr4'!L58</f>
        <v>0.1</v>
      </c>
      <c r="M58" s="112">
        <f>'Cash Flow %s Yr4'!M58</f>
        <v>0.1</v>
      </c>
      <c r="N58" s="112">
        <f>'Cash Flow %s Yr4'!N58</f>
        <v>0.1</v>
      </c>
      <c r="O58" s="112">
        <f>'Cash Flow %s Yr4'!O58</f>
        <v>0.1</v>
      </c>
      <c r="P58" s="112">
        <f>'Cash Flow %s Yr4'!P58</f>
        <v>0</v>
      </c>
      <c r="Q58" s="112">
        <f>'Cash Flow %s Yr4'!Q58</f>
        <v>0</v>
      </c>
      <c r="R58" s="112">
        <f>'Cash Flow %s Yr4'!R58</f>
        <v>0</v>
      </c>
      <c r="S58" s="111">
        <f t="shared" si="4"/>
        <v>0.99999999999999989</v>
      </c>
    </row>
    <row r="59" spans="1:19" x14ac:dyDescent="0.2">
      <c r="A59" s="36"/>
      <c r="B59" s="67" t="str">
        <f>'Expenses Summary'!B13</f>
        <v>1300</v>
      </c>
      <c r="C59" s="67" t="str">
        <f>'Expenses Summary'!C13</f>
        <v>Certificated Supervisor and Administrator Salaries</v>
      </c>
      <c r="D59" s="112">
        <f>'Cash Flow %s Yr4'!D59</f>
        <v>8.3000000000000004E-2</v>
      </c>
      <c r="E59" s="112">
        <f>'Cash Flow %s Yr4'!E59</f>
        <v>8.3000000000000004E-2</v>
      </c>
      <c r="F59" s="112">
        <f>'Cash Flow %s Yr4'!F59</f>
        <v>8.3000000000000004E-2</v>
      </c>
      <c r="G59" s="112">
        <f>'Cash Flow %s Yr4'!G59</f>
        <v>8.3000000000000004E-2</v>
      </c>
      <c r="H59" s="112">
        <f>'Cash Flow %s Yr4'!H59</f>
        <v>8.3000000000000004E-2</v>
      </c>
      <c r="I59" s="112">
        <f>'Cash Flow %s Yr4'!I59</f>
        <v>8.3000000000000004E-2</v>
      </c>
      <c r="J59" s="112">
        <f>'Cash Flow %s Yr4'!J59</f>
        <v>8.3000000000000004E-2</v>
      </c>
      <c r="K59" s="112">
        <f>'Cash Flow %s Yr4'!K59</f>
        <v>8.3000000000000004E-2</v>
      </c>
      <c r="L59" s="112">
        <f>'Cash Flow %s Yr4'!L59</f>
        <v>8.4000000000000005E-2</v>
      </c>
      <c r="M59" s="112">
        <f>'Cash Flow %s Yr4'!M59</f>
        <v>8.4000000000000005E-2</v>
      </c>
      <c r="N59" s="112">
        <f>'Cash Flow %s Yr4'!N59</f>
        <v>8.4000000000000005E-2</v>
      </c>
      <c r="O59" s="112">
        <f>'Cash Flow %s Yr4'!O59</f>
        <v>8.4000000000000005E-2</v>
      </c>
      <c r="P59" s="112">
        <f>'Cash Flow %s Yr4'!P59</f>
        <v>0</v>
      </c>
      <c r="Q59" s="112">
        <f>'Cash Flow %s Yr4'!Q59</f>
        <v>0</v>
      </c>
      <c r="R59" s="112">
        <f>'Cash Flow %s Yr4'!R59</f>
        <v>0</v>
      </c>
      <c r="S59" s="111">
        <f t="shared" si="4"/>
        <v>0.99999999999999989</v>
      </c>
    </row>
    <row r="60" spans="1:19" x14ac:dyDescent="0.2">
      <c r="A60" s="36"/>
      <c r="B60" s="67" t="str">
        <f>'Expenses Summary'!B14</f>
        <v>1305</v>
      </c>
      <c r="C60" s="67" t="str">
        <f>'Expenses Summary'!C14</f>
        <v>Certificated Supervisor and Administrator Bonuses</v>
      </c>
      <c r="D60" s="112">
        <f>'Cash Flow %s Yr4'!D60</f>
        <v>0</v>
      </c>
      <c r="E60" s="112">
        <f>'Cash Flow %s Yr4'!E60</f>
        <v>0</v>
      </c>
      <c r="F60" s="112">
        <f>'Cash Flow %s Yr4'!F60</f>
        <v>0</v>
      </c>
      <c r="G60" s="112">
        <f>'Cash Flow %s Yr4'!G60</f>
        <v>0</v>
      </c>
      <c r="H60" s="112">
        <f>'Cash Flow %s Yr4'!H60</f>
        <v>0</v>
      </c>
      <c r="I60" s="112">
        <f>'Cash Flow %s Yr4'!I60</f>
        <v>1</v>
      </c>
      <c r="J60" s="112">
        <f>'Cash Flow %s Yr4'!J60</f>
        <v>0</v>
      </c>
      <c r="K60" s="112">
        <f>'Cash Flow %s Yr4'!K60</f>
        <v>0</v>
      </c>
      <c r="L60" s="112">
        <f>'Cash Flow %s Yr4'!L60</f>
        <v>0</v>
      </c>
      <c r="M60" s="112">
        <f>'Cash Flow %s Yr4'!M60</f>
        <v>0</v>
      </c>
      <c r="N60" s="112">
        <f>'Cash Flow %s Yr4'!N60</f>
        <v>0</v>
      </c>
      <c r="O60" s="112">
        <f>'Cash Flow %s Yr4'!O60</f>
        <v>0</v>
      </c>
      <c r="P60" s="112">
        <f>'Cash Flow %s Yr4'!P60</f>
        <v>0</v>
      </c>
      <c r="Q60" s="112">
        <f>'Cash Flow %s Yr4'!Q60</f>
        <v>0</v>
      </c>
      <c r="R60" s="112">
        <f>'Cash Flow %s Yr4'!R60</f>
        <v>0</v>
      </c>
      <c r="S60" s="111">
        <f t="shared" si="4"/>
        <v>1</v>
      </c>
    </row>
    <row r="61" spans="1:19" x14ac:dyDescent="0.2">
      <c r="A61" s="36"/>
      <c r="B61" s="67" t="str">
        <f>'Expenses Summary'!B15</f>
        <v>1900</v>
      </c>
      <c r="C61" s="67" t="str">
        <f>'Expenses Summary'!C15</f>
        <v>Other Certificated Salaries</v>
      </c>
      <c r="D61" s="112">
        <f>'Cash Flow %s Yr4'!D61</f>
        <v>0</v>
      </c>
      <c r="E61" s="112">
        <f>'Cash Flow %s Yr4'!E61</f>
        <v>9.1666666666666702E-2</v>
      </c>
      <c r="F61" s="112">
        <f>'Cash Flow %s Yr4'!F61</f>
        <v>9.1666666666666702E-2</v>
      </c>
      <c r="G61" s="112">
        <f>'Cash Flow %s Yr4'!G61</f>
        <v>9.1666666666666702E-2</v>
      </c>
      <c r="H61" s="112">
        <f>'Cash Flow %s Yr4'!H61</f>
        <v>9.1666666666666702E-2</v>
      </c>
      <c r="I61" s="112">
        <f>'Cash Flow %s Yr4'!I61</f>
        <v>9.1666666666666702E-2</v>
      </c>
      <c r="J61" s="112">
        <f>'Cash Flow %s Yr4'!J61</f>
        <v>9.1666666666666702E-2</v>
      </c>
      <c r="K61" s="112">
        <f>'Cash Flow %s Yr4'!K61</f>
        <v>9.1666666666666702E-2</v>
      </c>
      <c r="L61" s="112">
        <f>'Cash Flow %s Yr4'!L61</f>
        <v>9.1666666666666702E-2</v>
      </c>
      <c r="M61" s="112">
        <f>'Cash Flow %s Yr4'!M61</f>
        <v>9.1666666666666702E-2</v>
      </c>
      <c r="N61" s="112">
        <f>'Cash Flow %s Yr4'!N61</f>
        <v>9.1666666666666702E-2</v>
      </c>
      <c r="O61" s="112">
        <f>'Cash Flow %s Yr4'!O61</f>
        <v>8.3333333332999998E-2</v>
      </c>
      <c r="P61" s="112">
        <f>'Cash Flow %s Yr4'!P61</f>
        <v>0</v>
      </c>
      <c r="Q61" s="112">
        <f>'Cash Flow %s Yr4'!Q61</f>
        <v>0</v>
      </c>
      <c r="R61" s="112">
        <f>'Cash Flow %s Yr4'!R61</f>
        <v>0</v>
      </c>
      <c r="S61" s="111">
        <f t="shared" si="4"/>
        <v>0.99999999999966682</v>
      </c>
    </row>
    <row r="62" spans="1:19" x14ac:dyDescent="0.2">
      <c r="A62" s="36"/>
      <c r="B62" s="67" t="str">
        <f>'Expenses Summary'!B16</f>
        <v>1910</v>
      </c>
      <c r="C62" s="67" t="str">
        <f>'Expenses Summary'!C16</f>
        <v>Other Certificated Overtime</v>
      </c>
      <c r="D62" s="112">
        <f>'Cash Flow %s Yr4'!D62</f>
        <v>0</v>
      </c>
      <c r="E62" s="112">
        <f>'Cash Flow %s Yr4'!E62</f>
        <v>9.1666666666666702E-2</v>
      </c>
      <c r="F62" s="112">
        <f>'Cash Flow %s Yr4'!F62</f>
        <v>9.1666666666666702E-2</v>
      </c>
      <c r="G62" s="112">
        <f>'Cash Flow %s Yr4'!G62</f>
        <v>9.1666666666666702E-2</v>
      </c>
      <c r="H62" s="112">
        <f>'Cash Flow %s Yr4'!H62</f>
        <v>9.1666666666666702E-2</v>
      </c>
      <c r="I62" s="112">
        <f>'Cash Flow %s Yr4'!I62</f>
        <v>9.1666666666666702E-2</v>
      </c>
      <c r="J62" s="112">
        <f>'Cash Flow %s Yr4'!J62</f>
        <v>9.1666666666666702E-2</v>
      </c>
      <c r="K62" s="112">
        <f>'Cash Flow %s Yr4'!K62</f>
        <v>9.1666666666666702E-2</v>
      </c>
      <c r="L62" s="112">
        <f>'Cash Flow %s Yr4'!L62</f>
        <v>9.1666666666666702E-2</v>
      </c>
      <c r="M62" s="112">
        <f>'Cash Flow %s Yr4'!M62</f>
        <v>9.1666666666666702E-2</v>
      </c>
      <c r="N62" s="112">
        <f>'Cash Flow %s Yr4'!N62</f>
        <v>9.1666666666666702E-2</v>
      </c>
      <c r="O62" s="112">
        <f>'Cash Flow %s Yr4'!O62</f>
        <v>8.3333333332999998E-2</v>
      </c>
      <c r="P62" s="112">
        <f>'Cash Flow %s Yr4'!P62</f>
        <v>0</v>
      </c>
      <c r="Q62" s="112">
        <f>'Cash Flow %s Yr4'!Q62</f>
        <v>0</v>
      </c>
      <c r="R62" s="112">
        <f>'Cash Flow %s Yr4'!R62</f>
        <v>0</v>
      </c>
      <c r="S62" s="111">
        <f t="shared" si="4"/>
        <v>0.99999999999966682</v>
      </c>
    </row>
    <row r="63" spans="1:19" x14ac:dyDescent="0.2">
      <c r="A63" s="36"/>
      <c r="B63" s="88"/>
      <c r="C63" s="93"/>
      <c r="D63" s="100"/>
      <c r="E63" s="100"/>
      <c r="F63" s="119"/>
      <c r="G63" s="119"/>
      <c r="H63" s="119"/>
      <c r="I63" s="119"/>
      <c r="J63" s="119"/>
      <c r="K63" s="119"/>
      <c r="L63" s="119"/>
      <c r="M63" s="119"/>
      <c r="N63" s="119"/>
      <c r="O63" s="119"/>
      <c r="P63" s="100"/>
      <c r="Q63" s="100"/>
      <c r="R63" s="100"/>
      <c r="S63" s="111"/>
    </row>
    <row r="64" spans="1:19" s="31" customFormat="1" x14ac:dyDescent="0.2">
      <c r="A64" s="36"/>
      <c r="B64" s="40"/>
      <c r="C64" s="3"/>
      <c r="D64" s="102"/>
      <c r="E64" s="102"/>
      <c r="F64" s="102"/>
      <c r="G64" s="102"/>
      <c r="H64" s="102"/>
      <c r="I64" s="102"/>
      <c r="J64" s="102"/>
      <c r="K64" s="102"/>
      <c r="L64" s="102"/>
      <c r="M64" s="102"/>
      <c r="N64" s="102"/>
      <c r="O64" s="102"/>
      <c r="P64" s="102"/>
      <c r="Q64" s="102"/>
      <c r="R64" s="102"/>
      <c r="S64" s="111"/>
    </row>
    <row r="65" spans="1:19" s="31" customFormat="1" x14ac:dyDescent="0.2">
      <c r="B65" s="5" t="s">
        <v>734</v>
      </c>
      <c r="C65" s="3"/>
      <c r="D65" s="102"/>
      <c r="E65" s="102"/>
      <c r="F65" s="102"/>
      <c r="G65" s="102"/>
      <c r="H65" s="102"/>
      <c r="I65" s="102"/>
      <c r="J65" s="102"/>
      <c r="K65" s="102"/>
      <c r="L65" s="102"/>
      <c r="M65" s="102"/>
      <c r="N65" s="102"/>
      <c r="O65" s="102"/>
      <c r="P65" s="102"/>
      <c r="Q65" s="102"/>
      <c r="R65" s="102"/>
      <c r="S65" s="111"/>
    </row>
    <row r="66" spans="1:19" s="31" customFormat="1" x14ac:dyDescent="0.2">
      <c r="A66" s="36"/>
      <c r="B66" s="67" t="str">
        <f>'Expenses Summary'!B20</f>
        <v>2100</v>
      </c>
      <c r="C66" s="67" t="str">
        <f>'Expenses Summary'!C20</f>
        <v>Instructional Aide Salaries</v>
      </c>
      <c r="D66" s="112">
        <f>'Cash Flow %s Yr4'!D66</f>
        <v>0</v>
      </c>
      <c r="E66" s="112">
        <f>'Cash Flow %s Yr4'!E66</f>
        <v>0</v>
      </c>
      <c r="F66" s="112">
        <f>'Cash Flow %s Yr4'!F66</f>
        <v>0.1</v>
      </c>
      <c r="G66" s="112">
        <f>'Cash Flow %s Yr4'!G66</f>
        <v>0.1</v>
      </c>
      <c r="H66" s="112">
        <f>'Cash Flow %s Yr4'!H66</f>
        <v>0.1</v>
      </c>
      <c r="I66" s="112">
        <f>'Cash Flow %s Yr4'!I66</f>
        <v>0.1</v>
      </c>
      <c r="J66" s="112">
        <f>'Cash Flow %s Yr4'!J66</f>
        <v>0.1</v>
      </c>
      <c r="K66" s="112">
        <f>'Cash Flow %s Yr4'!K66</f>
        <v>0.1</v>
      </c>
      <c r="L66" s="112">
        <f>'Cash Flow %s Yr4'!L66</f>
        <v>0.1</v>
      </c>
      <c r="M66" s="112">
        <f>'Cash Flow %s Yr4'!M66</f>
        <v>0.1</v>
      </c>
      <c r="N66" s="112">
        <f>'Cash Flow %s Yr4'!N66</f>
        <v>0.1</v>
      </c>
      <c r="O66" s="112">
        <f>'Cash Flow %s Yr4'!O66</f>
        <v>0.1</v>
      </c>
      <c r="P66" s="112">
        <f>'Cash Flow %s Yr4'!P66</f>
        <v>0</v>
      </c>
      <c r="Q66" s="112">
        <f>'Cash Flow %s Yr4'!Q66</f>
        <v>0</v>
      </c>
      <c r="R66" s="112">
        <f>'Cash Flow %s Yr4'!R66</f>
        <v>0</v>
      </c>
      <c r="S66" s="111">
        <f t="shared" ref="S66:S75" si="5">SUM(D66:R66)</f>
        <v>0.99999999999999989</v>
      </c>
    </row>
    <row r="67" spans="1:19" s="31" customFormat="1" x14ac:dyDescent="0.2">
      <c r="A67" s="36"/>
      <c r="B67" s="67" t="str">
        <f>'Expenses Summary'!B21</f>
        <v>2110</v>
      </c>
      <c r="C67" s="67" t="str">
        <f>'Expenses Summary'!C21</f>
        <v>Instructional Aide Overtime</v>
      </c>
      <c r="D67" s="112">
        <f>'Cash Flow %s Yr4'!D67</f>
        <v>0</v>
      </c>
      <c r="E67" s="112">
        <f>'Cash Flow %s Yr4'!E67</f>
        <v>0</v>
      </c>
      <c r="F67" s="112">
        <f>'Cash Flow %s Yr4'!F67</f>
        <v>0.1</v>
      </c>
      <c r="G67" s="112">
        <f>'Cash Flow %s Yr4'!G67</f>
        <v>0.1</v>
      </c>
      <c r="H67" s="112">
        <f>'Cash Flow %s Yr4'!H67</f>
        <v>0.1</v>
      </c>
      <c r="I67" s="112">
        <f>'Cash Flow %s Yr4'!I67</f>
        <v>0.1</v>
      </c>
      <c r="J67" s="112">
        <f>'Cash Flow %s Yr4'!J67</f>
        <v>0.1</v>
      </c>
      <c r="K67" s="112">
        <f>'Cash Flow %s Yr4'!K67</f>
        <v>0.1</v>
      </c>
      <c r="L67" s="112">
        <f>'Cash Flow %s Yr4'!L67</f>
        <v>0.1</v>
      </c>
      <c r="M67" s="112">
        <f>'Cash Flow %s Yr4'!M67</f>
        <v>0.1</v>
      </c>
      <c r="N67" s="112">
        <f>'Cash Flow %s Yr4'!N67</f>
        <v>0.1</v>
      </c>
      <c r="O67" s="112">
        <f>'Cash Flow %s Yr4'!O67</f>
        <v>0.1</v>
      </c>
      <c r="P67" s="112">
        <f>'Cash Flow %s Yr4'!P67</f>
        <v>0</v>
      </c>
      <c r="Q67" s="112">
        <f>'Cash Flow %s Yr4'!Q67</f>
        <v>0</v>
      </c>
      <c r="R67" s="112">
        <f>'Cash Flow %s Yr4'!R67</f>
        <v>0</v>
      </c>
      <c r="S67" s="111">
        <f t="shared" si="5"/>
        <v>0.99999999999999989</v>
      </c>
    </row>
    <row r="68" spans="1:19" s="31" customFormat="1" x14ac:dyDescent="0.2">
      <c r="A68" s="36"/>
      <c r="B68" s="67" t="str">
        <f>'Expenses Summary'!B22</f>
        <v>2200</v>
      </c>
      <c r="C68" s="67" t="str">
        <f>'Expenses Summary'!C22</f>
        <v>Classified Support Salaries</v>
      </c>
      <c r="D68" s="112">
        <f>'Cash Flow %s Yr4'!D68</f>
        <v>0</v>
      </c>
      <c r="E68" s="112">
        <f>'Cash Flow %s Yr4'!E68</f>
        <v>0</v>
      </c>
      <c r="F68" s="112">
        <f>'Cash Flow %s Yr4'!F68</f>
        <v>0.1</v>
      </c>
      <c r="G68" s="112">
        <f>'Cash Flow %s Yr4'!G68</f>
        <v>0.1</v>
      </c>
      <c r="H68" s="112">
        <f>'Cash Flow %s Yr4'!H68</f>
        <v>0.1</v>
      </c>
      <c r="I68" s="112">
        <f>'Cash Flow %s Yr4'!I68</f>
        <v>0.1</v>
      </c>
      <c r="J68" s="112">
        <f>'Cash Flow %s Yr4'!J68</f>
        <v>0.1</v>
      </c>
      <c r="K68" s="112">
        <f>'Cash Flow %s Yr4'!K68</f>
        <v>0.1</v>
      </c>
      <c r="L68" s="112">
        <f>'Cash Flow %s Yr4'!L68</f>
        <v>0.1</v>
      </c>
      <c r="M68" s="112">
        <f>'Cash Flow %s Yr4'!M68</f>
        <v>0.1</v>
      </c>
      <c r="N68" s="112">
        <f>'Cash Flow %s Yr4'!N68</f>
        <v>0.1</v>
      </c>
      <c r="O68" s="112">
        <f>'Cash Flow %s Yr4'!O68</f>
        <v>0.1</v>
      </c>
      <c r="P68" s="112">
        <f>'Cash Flow %s Yr4'!P68</f>
        <v>0</v>
      </c>
      <c r="Q68" s="112">
        <f>'Cash Flow %s Yr4'!Q68</f>
        <v>0</v>
      </c>
      <c r="R68" s="112">
        <f>'Cash Flow %s Yr4'!R68</f>
        <v>0</v>
      </c>
      <c r="S68" s="111">
        <f t="shared" si="5"/>
        <v>0.99999999999999989</v>
      </c>
    </row>
    <row r="69" spans="1:19" s="31" customFormat="1" x14ac:dyDescent="0.2">
      <c r="A69" s="36"/>
      <c r="B69" s="67" t="str">
        <f>'Expenses Summary'!B23</f>
        <v>2210</v>
      </c>
      <c r="C69" s="67" t="str">
        <f>'Expenses Summary'!C23</f>
        <v>Classified Support Overtime</v>
      </c>
      <c r="D69" s="112">
        <f>'Cash Flow %s Yr4'!D69</f>
        <v>0</v>
      </c>
      <c r="E69" s="112">
        <f>'Cash Flow %s Yr4'!E69</f>
        <v>0</v>
      </c>
      <c r="F69" s="112">
        <f>'Cash Flow %s Yr4'!F69</f>
        <v>0.1</v>
      </c>
      <c r="G69" s="112">
        <f>'Cash Flow %s Yr4'!G69</f>
        <v>0.1</v>
      </c>
      <c r="H69" s="112">
        <f>'Cash Flow %s Yr4'!H69</f>
        <v>0.1</v>
      </c>
      <c r="I69" s="112">
        <f>'Cash Flow %s Yr4'!I69</f>
        <v>0.1</v>
      </c>
      <c r="J69" s="112">
        <f>'Cash Flow %s Yr4'!J69</f>
        <v>0.1</v>
      </c>
      <c r="K69" s="112">
        <f>'Cash Flow %s Yr4'!K69</f>
        <v>0.1</v>
      </c>
      <c r="L69" s="112">
        <f>'Cash Flow %s Yr4'!L69</f>
        <v>0.1</v>
      </c>
      <c r="M69" s="112">
        <f>'Cash Flow %s Yr4'!M69</f>
        <v>0.1</v>
      </c>
      <c r="N69" s="112">
        <f>'Cash Flow %s Yr4'!N69</f>
        <v>0.1</v>
      </c>
      <c r="O69" s="112">
        <f>'Cash Flow %s Yr4'!O69</f>
        <v>0.1</v>
      </c>
      <c r="P69" s="112">
        <f>'Cash Flow %s Yr4'!P69</f>
        <v>0</v>
      </c>
      <c r="Q69" s="112">
        <f>'Cash Flow %s Yr4'!Q69</f>
        <v>0</v>
      </c>
      <c r="R69" s="112">
        <f>'Cash Flow %s Yr4'!R69</f>
        <v>0</v>
      </c>
      <c r="S69" s="111">
        <f t="shared" si="5"/>
        <v>0.99999999999999989</v>
      </c>
    </row>
    <row r="70" spans="1:19" s="31" customFormat="1" x14ac:dyDescent="0.2">
      <c r="A70" s="36"/>
      <c r="B70" s="67" t="str">
        <f>'Expenses Summary'!B24</f>
        <v>2300</v>
      </c>
      <c r="C70" s="67" t="str">
        <f>'Expenses Summary'!C24</f>
        <v>Classified Supervisor and Administrator Salaries</v>
      </c>
      <c r="D70" s="112">
        <f>'Cash Flow %s Yr4'!D70</f>
        <v>0</v>
      </c>
      <c r="E70" s="112">
        <f>'Cash Flow %s Yr4'!E70</f>
        <v>0</v>
      </c>
      <c r="F70" s="112">
        <f>'Cash Flow %s Yr4'!F70</f>
        <v>0.1</v>
      </c>
      <c r="G70" s="112">
        <f>'Cash Flow %s Yr4'!G70</f>
        <v>0.1</v>
      </c>
      <c r="H70" s="112">
        <f>'Cash Flow %s Yr4'!H70</f>
        <v>0.1</v>
      </c>
      <c r="I70" s="112">
        <f>'Cash Flow %s Yr4'!I70</f>
        <v>0.1</v>
      </c>
      <c r="J70" s="112">
        <f>'Cash Flow %s Yr4'!J70</f>
        <v>0.1</v>
      </c>
      <c r="K70" s="112">
        <f>'Cash Flow %s Yr4'!K70</f>
        <v>0.1</v>
      </c>
      <c r="L70" s="112">
        <f>'Cash Flow %s Yr4'!L70</f>
        <v>0.1</v>
      </c>
      <c r="M70" s="112">
        <f>'Cash Flow %s Yr4'!M70</f>
        <v>0.1</v>
      </c>
      <c r="N70" s="112">
        <f>'Cash Flow %s Yr4'!N70</f>
        <v>0.1</v>
      </c>
      <c r="O70" s="112">
        <f>'Cash Flow %s Yr4'!O70</f>
        <v>0.1</v>
      </c>
      <c r="P70" s="112">
        <f>'Cash Flow %s Yr4'!P70</f>
        <v>0</v>
      </c>
      <c r="Q70" s="112">
        <f>'Cash Flow %s Yr4'!Q70</f>
        <v>0</v>
      </c>
      <c r="R70" s="112">
        <f>'Cash Flow %s Yr4'!R70</f>
        <v>0</v>
      </c>
      <c r="S70" s="111">
        <f t="shared" si="5"/>
        <v>0.99999999999999989</v>
      </c>
    </row>
    <row r="71" spans="1:19" s="31" customFormat="1" x14ac:dyDescent="0.2">
      <c r="A71" s="36"/>
      <c r="B71" s="67" t="str">
        <f>'Expenses Summary'!B25</f>
        <v>2400</v>
      </c>
      <c r="C71" s="67" t="str">
        <f>'Expenses Summary'!C25</f>
        <v>Clerical, Technical, and Office Staff Salaries</v>
      </c>
      <c r="D71" s="112">
        <f>'Cash Flow %s Yr4'!D71</f>
        <v>0</v>
      </c>
      <c r="E71" s="112">
        <f>'Cash Flow %s Yr4'!E71</f>
        <v>0</v>
      </c>
      <c r="F71" s="112">
        <f>'Cash Flow %s Yr4'!F71</f>
        <v>0.1</v>
      </c>
      <c r="G71" s="112">
        <f>'Cash Flow %s Yr4'!G71</f>
        <v>0.1</v>
      </c>
      <c r="H71" s="112">
        <f>'Cash Flow %s Yr4'!H71</f>
        <v>0.1</v>
      </c>
      <c r="I71" s="112">
        <f>'Cash Flow %s Yr4'!I71</f>
        <v>0.1</v>
      </c>
      <c r="J71" s="112">
        <f>'Cash Flow %s Yr4'!J71</f>
        <v>0.1</v>
      </c>
      <c r="K71" s="112">
        <f>'Cash Flow %s Yr4'!K71</f>
        <v>0.1</v>
      </c>
      <c r="L71" s="112">
        <f>'Cash Flow %s Yr4'!L71</f>
        <v>0.1</v>
      </c>
      <c r="M71" s="112">
        <f>'Cash Flow %s Yr4'!M71</f>
        <v>0.1</v>
      </c>
      <c r="N71" s="112">
        <f>'Cash Flow %s Yr4'!N71</f>
        <v>0.1</v>
      </c>
      <c r="O71" s="112">
        <f>'Cash Flow %s Yr4'!O71</f>
        <v>0.1</v>
      </c>
      <c r="P71" s="112">
        <f>'Cash Flow %s Yr4'!P71</f>
        <v>0</v>
      </c>
      <c r="Q71" s="112">
        <f>'Cash Flow %s Yr4'!Q71</f>
        <v>0</v>
      </c>
      <c r="R71" s="112">
        <f>'Cash Flow %s Yr4'!R71</f>
        <v>0</v>
      </c>
      <c r="S71" s="111">
        <f t="shared" si="5"/>
        <v>0.99999999999999989</v>
      </c>
    </row>
    <row r="72" spans="1:19" s="31" customFormat="1" x14ac:dyDescent="0.2">
      <c r="A72" s="36"/>
      <c r="B72" s="67" t="str">
        <f>'Expenses Summary'!B26</f>
        <v>2410</v>
      </c>
      <c r="C72" s="67" t="str">
        <f>'Expenses Summary'!C26</f>
        <v>Clerical, Technical, and Office Staff Overtime</v>
      </c>
      <c r="D72" s="112">
        <f>'Cash Flow %s Yr4'!D72</f>
        <v>0</v>
      </c>
      <c r="E72" s="112">
        <f>'Cash Flow %s Yr4'!E72</f>
        <v>0</v>
      </c>
      <c r="F72" s="112">
        <f>'Cash Flow %s Yr4'!F72</f>
        <v>0</v>
      </c>
      <c r="G72" s="112">
        <f>'Cash Flow %s Yr4'!G72</f>
        <v>0</v>
      </c>
      <c r="H72" s="112">
        <f>'Cash Flow %s Yr4'!H72</f>
        <v>0</v>
      </c>
      <c r="I72" s="112">
        <f>'Cash Flow %s Yr4'!I72</f>
        <v>1</v>
      </c>
      <c r="J72" s="112">
        <f>'Cash Flow %s Yr4'!J72</f>
        <v>0</v>
      </c>
      <c r="K72" s="112">
        <f>'Cash Flow %s Yr4'!K72</f>
        <v>0</v>
      </c>
      <c r="L72" s="112">
        <f>'Cash Flow %s Yr4'!L72</f>
        <v>0</v>
      </c>
      <c r="M72" s="112">
        <f>'Cash Flow %s Yr4'!M72</f>
        <v>0</v>
      </c>
      <c r="N72" s="112">
        <f>'Cash Flow %s Yr4'!N72</f>
        <v>0</v>
      </c>
      <c r="O72" s="112">
        <f>'Cash Flow %s Yr4'!O72</f>
        <v>0</v>
      </c>
      <c r="P72" s="112">
        <f>'Cash Flow %s Yr4'!P72</f>
        <v>0</v>
      </c>
      <c r="Q72" s="112">
        <f>'Cash Flow %s Yr4'!Q72</f>
        <v>0</v>
      </c>
      <c r="R72" s="112">
        <f>'Cash Flow %s Yr4'!R72</f>
        <v>0</v>
      </c>
      <c r="S72" s="111">
        <f t="shared" si="5"/>
        <v>1</v>
      </c>
    </row>
    <row r="73" spans="1:19" s="31" customFormat="1" x14ac:dyDescent="0.2">
      <c r="A73" s="36"/>
      <c r="B73" s="67" t="str">
        <f>'Expenses Summary'!B27</f>
        <v>2900</v>
      </c>
      <c r="C73" s="67" t="str">
        <f>'Expenses Summary'!C27</f>
        <v>Other Classified Salaries</v>
      </c>
      <c r="D73" s="112">
        <f>'Cash Flow %s Yr4'!D73</f>
        <v>0.1</v>
      </c>
      <c r="E73" s="112">
        <f>'Cash Flow %s Yr4'!E73</f>
        <v>0.1</v>
      </c>
      <c r="F73" s="112">
        <f>'Cash Flow %s Yr4'!F73</f>
        <v>0.1</v>
      </c>
      <c r="G73" s="112">
        <f>'Cash Flow %s Yr4'!G73</f>
        <v>0.1</v>
      </c>
      <c r="H73" s="112">
        <f>'Cash Flow %s Yr4'!H73</f>
        <v>0.1</v>
      </c>
      <c r="I73" s="112">
        <f>'Cash Flow %s Yr4'!I73</f>
        <v>0.1</v>
      </c>
      <c r="J73" s="112">
        <f>'Cash Flow %s Yr4'!J73</f>
        <v>0.1</v>
      </c>
      <c r="K73" s="112">
        <f>'Cash Flow %s Yr4'!K73</f>
        <v>0.1</v>
      </c>
      <c r="L73" s="112">
        <f>'Cash Flow %s Yr4'!L73</f>
        <v>0.1</v>
      </c>
      <c r="M73" s="112">
        <f>'Cash Flow %s Yr4'!M73</f>
        <v>0.1</v>
      </c>
      <c r="N73" s="112">
        <f>'Cash Flow %s Yr4'!N73</f>
        <v>0</v>
      </c>
      <c r="O73" s="112">
        <f>'Cash Flow %s Yr4'!O73</f>
        <v>0</v>
      </c>
      <c r="P73" s="112">
        <f>'Cash Flow %s Yr4'!P73</f>
        <v>0</v>
      </c>
      <c r="Q73" s="112">
        <f>'Cash Flow %s Yr4'!Q73</f>
        <v>0</v>
      </c>
      <c r="R73" s="112">
        <f>'Cash Flow %s Yr4'!R73</f>
        <v>0</v>
      </c>
      <c r="S73" s="111">
        <f t="shared" si="5"/>
        <v>0.99999999999999989</v>
      </c>
    </row>
    <row r="74" spans="1:19" s="31" customFormat="1" x14ac:dyDescent="0.2">
      <c r="A74" s="36"/>
      <c r="B74" s="67" t="str">
        <f>'Expenses Summary'!B28</f>
        <v>2905</v>
      </c>
      <c r="C74" s="67" t="str">
        <f>'Expenses Summary'!C28</f>
        <v>Other Stipends</v>
      </c>
      <c r="D74" s="112">
        <f>'Cash Flow %s Yr4'!D74</f>
        <v>0</v>
      </c>
      <c r="E74" s="112">
        <f>'Cash Flow %s Yr4'!E74</f>
        <v>0</v>
      </c>
      <c r="F74" s="112">
        <f>'Cash Flow %s Yr4'!F74</f>
        <v>0.1</v>
      </c>
      <c r="G74" s="112">
        <f>'Cash Flow %s Yr4'!G74</f>
        <v>0.1</v>
      </c>
      <c r="H74" s="112">
        <f>'Cash Flow %s Yr4'!H74</f>
        <v>0.1</v>
      </c>
      <c r="I74" s="112">
        <f>'Cash Flow %s Yr4'!I74</f>
        <v>0.1</v>
      </c>
      <c r="J74" s="112">
        <f>'Cash Flow %s Yr4'!J74</f>
        <v>0.1</v>
      </c>
      <c r="K74" s="112">
        <f>'Cash Flow %s Yr4'!K74</f>
        <v>0.1</v>
      </c>
      <c r="L74" s="112">
        <f>'Cash Flow %s Yr4'!L74</f>
        <v>0.1</v>
      </c>
      <c r="M74" s="112">
        <f>'Cash Flow %s Yr4'!M74</f>
        <v>0.1</v>
      </c>
      <c r="N74" s="112">
        <f>'Cash Flow %s Yr4'!N74</f>
        <v>0.1</v>
      </c>
      <c r="O74" s="112">
        <f>'Cash Flow %s Yr4'!O74</f>
        <v>0.1</v>
      </c>
      <c r="P74" s="112">
        <f>'Cash Flow %s Yr4'!P74</f>
        <v>0</v>
      </c>
      <c r="Q74" s="112">
        <f>'Cash Flow %s Yr4'!Q74</f>
        <v>0</v>
      </c>
      <c r="R74" s="112">
        <f>'Cash Flow %s Yr4'!R74</f>
        <v>0</v>
      </c>
      <c r="S74" s="111">
        <f t="shared" si="5"/>
        <v>0.99999999999999989</v>
      </c>
    </row>
    <row r="75" spans="1:19" s="31" customFormat="1" x14ac:dyDescent="0.2">
      <c r="A75" s="36"/>
      <c r="B75" s="67" t="str">
        <f>'Expenses Summary'!B29</f>
        <v>2910</v>
      </c>
      <c r="C75" s="67" t="str">
        <f>'Expenses Summary'!C29</f>
        <v>Other Classified Overtime</v>
      </c>
      <c r="D75" s="112">
        <f>'Cash Flow %s Yr4'!D75</f>
        <v>0</v>
      </c>
      <c r="E75" s="112">
        <f>'Cash Flow %s Yr4'!E75</f>
        <v>0</v>
      </c>
      <c r="F75" s="112">
        <f>'Cash Flow %s Yr4'!F75</f>
        <v>0.1</v>
      </c>
      <c r="G75" s="112">
        <f>'Cash Flow %s Yr4'!G75</f>
        <v>0.1</v>
      </c>
      <c r="H75" s="112">
        <f>'Cash Flow %s Yr4'!H75</f>
        <v>0.1</v>
      </c>
      <c r="I75" s="112">
        <f>'Cash Flow %s Yr4'!I75</f>
        <v>0.1</v>
      </c>
      <c r="J75" s="112">
        <f>'Cash Flow %s Yr4'!J75</f>
        <v>0.1</v>
      </c>
      <c r="K75" s="112">
        <f>'Cash Flow %s Yr4'!K75</f>
        <v>0.1</v>
      </c>
      <c r="L75" s="112">
        <f>'Cash Flow %s Yr4'!L75</f>
        <v>0.1</v>
      </c>
      <c r="M75" s="112">
        <f>'Cash Flow %s Yr4'!M75</f>
        <v>0.1</v>
      </c>
      <c r="N75" s="112">
        <f>'Cash Flow %s Yr4'!N75</f>
        <v>0.1</v>
      </c>
      <c r="O75" s="112">
        <f>'Cash Flow %s Yr4'!O75</f>
        <v>0.1</v>
      </c>
      <c r="P75" s="112">
        <f>'Cash Flow %s Yr4'!P75</f>
        <v>0</v>
      </c>
      <c r="Q75" s="112">
        <f>'Cash Flow %s Yr4'!Q75</f>
        <v>0</v>
      </c>
      <c r="R75" s="112">
        <f>'Cash Flow %s Yr4'!R75</f>
        <v>0</v>
      </c>
      <c r="S75" s="111">
        <f t="shared" si="5"/>
        <v>0.99999999999999989</v>
      </c>
    </row>
    <row r="76" spans="1:19" s="31" customFormat="1" x14ac:dyDescent="0.2">
      <c r="A76" s="36"/>
      <c r="B76" s="88"/>
      <c r="C76" s="93"/>
      <c r="D76" s="100"/>
      <c r="E76" s="100"/>
      <c r="F76" s="119"/>
      <c r="G76" s="119"/>
      <c r="H76" s="119"/>
      <c r="I76" s="119"/>
      <c r="J76" s="119"/>
      <c r="K76" s="119"/>
      <c r="L76" s="119"/>
      <c r="M76" s="119"/>
      <c r="N76" s="119"/>
      <c r="O76" s="119"/>
      <c r="P76" s="100"/>
      <c r="Q76" s="100"/>
      <c r="R76" s="100"/>
      <c r="S76" s="111"/>
    </row>
    <row r="77" spans="1:19" s="31" customFormat="1" x14ac:dyDescent="0.2">
      <c r="A77" s="36"/>
      <c r="B77" s="40"/>
      <c r="C77" s="3"/>
      <c r="D77" s="102"/>
      <c r="E77" s="102"/>
      <c r="F77" s="102"/>
      <c r="G77" s="102"/>
      <c r="H77" s="102"/>
      <c r="I77" s="102"/>
      <c r="J77" s="102"/>
      <c r="K77" s="102"/>
      <c r="L77" s="102"/>
      <c r="M77" s="102"/>
      <c r="N77" s="102"/>
      <c r="O77" s="102"/>
      <c r="P77" s="102"/>
      <c r="Q77" s="102"/>
      <c r="R77" s="102"/>
      <c r="S77" s="111"/>
    </row>
    <row r="78" spans="1:19" s="31" customFormat="1" x14ac:dyDescent="0.2">
      <c r="B78" s="34" t="s">
        <v>735</v>
      </c>
      <c r="C78" s="3"/>
      <c r="D78" s="102"/>
      <c r="E78" s="102"/>
      <c r="F78" s="102"/>
      <c r="G78" s="102"/>
      <c r="H78" s="102"/>
      <c r="I78" s="102"/>
      <c r="J78" s="102"/>
      <c r="K78" s="102"/>
      <c r="L78" s="102"/>
      <c r="M78" s="102"/>
      <c r="N78" s="102"/>
      <c r="O78" s="102"/>
      <c r="P78" s="102"/>
      <c r="Q78" s="102"/>
      <c r="R78" s="102"/>
      <c r="S78" s="111"/>
    </row>
    <row r="79" spans="1:19" s="31" customFormat="1" x14ac:dyDescent="0.2">
      <c r="A79" s="36"/>
      <c r="B79" s="67" t="str">
        <f>'Expenses Summary'!B33</f>
        <v>3101</v>
      </c>
      <c r="C79" s="67" t="str">
        <f>'Expenses Summary'!C33</f>
        <v>State Teachers' Retirement System, certificated positions</v>
      </c>
      <c r="D79" s="112">
        <f>'Cash Flow %s Yr4'!D79</f>
        <v>8.3000000000000004E-2</v>
      </c>
      <c r="E79" s="112">
        <f>'Cash Flow %s Yr4'!E79</f>
        <v>8.3000000000000004E-2</v>
      </c>
      <c r="F79" s="112">
        <f>'Cash Flow %s Yr4'!F79</f>
        <v>8.3000000000000004E-2</v>
      </c>
      <c r="G79" s="112">
        <f>'Cash Flow %s Yr4'!G79</f>
        <v>8.3000000000000004E-2</v>
      </c>
      <c r="H79" s="112">
        <f>'Cash Flow %s Yr4'!H79</f>
        <v>8.3000000000000004E-2</v>
      </c>
      <c r="I79" s="112">
        <f>'Cash Flow %s Yr4'!I79</f>
        <v>8.3000000000000004E-2</v>
      </c>
      <c r="J79" s="112">
        <f>'Cash Flow %s Yr4'!J79</f>
        <v>8.3000000000000004E-2</v>
      </c>
      <c r="K79" s="112">
        <f>'Cash Flow %s Yr4'!K79</f>
        <v>8.3000000000000004E-2</v>
      </c>
      <c r="L79" s="112">
        <f>'Cash Flow %s Yr4'!L79</f>
        <v>8.4000000000000005E-2</v>
      </c>
      <c r="M79" s="112">
        <f>'Cash Flow %s Yr4'!M79</f>
        <v>8.4000000000000005E-2</v>
      </c>
      <c r="N79" s="112">
        <f>'Cash Flow %s Yr4'!N79</f>
        <v>8.4000000000000005E-2</v>
      </c>
      <c r="O79" s="112">
        <f>'Cash Flow %s Yr4'!O79</f>
        <v>8.4000000000000005E-2</v>
      </c>
      <c r="P79" s="112">
        <f>'Cash Flow %s Yr4'!P79</f>
        <v>0</v>
      </c>
      <c r="Q79" s="112">
        <f>'Cash Flow %s Yr4'!Q79</f>
        <v>0</v>
      </c>
      <c r="R79" s="112">
        <f>'Cash Flow %s Yr4'!R79</f>
        <v>0</v>
      </c>
      <c r="S79" s="111">
        <f t="shared" ref="S79:S87" si="6">SUM(D79:R79)</f>
        <v>0.99999999999999989</v>
      </c>
    </row>
    <row r="80" spans="1:19" s="31" customFormat="1" x14ac:dyDescent="0.2">
      <c r="A80" s="36"/>
      <c r="B80" s="67" t="str">
        <f>'Expenses Summary'!B34</f>
        <v>3202</v>
      </c>
      <c r="C80" s="67" t="str">
        <f>'Expenses Summary'!C34</f>
        <v>Public Employees' Retirement System, classified positions</v>
      </c>
      <c r="D80" s="112">
        <f>'Cash Flow %s Yr4'!D80</f>
        <v>8.3000000000000004E-2</v>
      </c>
      <c r="E80" s="112">
        <f>'Cash Flow %s Yr4'!E80</f>
        <v>8.3000000000000004E-2</v>
      </c>
      <c r="F80" s="112">
        <f>'Cash Flow %s Yr4'!F80</f>
        <v>8.3000000000000004E-2</v>
      </c>
      <c r="G80" s="112">
        <f>'Cash Flow %s Yr4'!G80</f>
        <v>8.3000000000000004E-2</v>
      </c>
      <c r="H80" s="112">
        <f>'Cash Flow %s Yr4'!H80</f>
        <v>8.3000000000000004E-2</v>
      </c>
      <c r="I80" s="112">
        <f>'Cash Flow %s Yr4'!I80</f>
        <v>8.3000000000000004E-2</v>
      </c>
      <c r="J80" s="112">
        <f>'Cash Flow %s Yr4'!J80</f>
        <v>8.3000000000000004E-2</v>
      </c>
      <c r="K80" s="112">
        <f>'Cash Flow %s Yr4'!K80</f>
        <v>8.3000000000000004E-2</v>
      </c>
      <c r="L80" s="112">
        <f>'Cash Flow %s Yr4'!L80</f>
        <v>8.4000000000000005E-2</v>
      </c>
      <c r="M80" s="112">
        <f>'Cash Flow %s Yr4'!M80</f>
        <v>8.4000000000000005E-2</v>
      </c>
      <c r="N80" s="112">
        <f>'Cash Flow %s Yr4'!N80</f>
        <v>8.4000000000000005E-2</v>
      </c>
      <c r="O80" s="112">
        <f>'Cash Flow %s Yr4'!O80</f>
        <v>8.4000000000000005E-2</v>
      </c>
      <c r="P80" s="112">
        <f>'Cash Flow %s Yr4'!P80</f>
        <v>0</v>
      </c>
      <c r="Q80" s="112">
        <f>'Cash Flow %s Yr4'!Q80</f>
        <v>0</v>
      </c>
      <c r="R80" s="112">
        <f>'Cash Flow %s Yr4'!R80</f>
        <v>0</v>
      </c>
      <c r="S80" s="111">
        <f t="shared" si="6"/>
        <v>0.99999999999999989</v>
      </c>
    </row>
    <row r="81" spans="1:19" s="31" customFormat="1" x14ac:dyDescent="0.2">
      <c r="A81" s="36"/>
      <c r="B81" s="67" t="str">
        <f>'Expenses Summary'!B35</f>
        <v>3313</v>
      </c>
      <c r="C81" s="67" t="str">
        <f>'Expenses Summary'!C35</f>
        <v>OASDI</v>
      </c>
      <c r="D81" s="112">
        <f>'Cash Flow %s Yr4'!D81</f>
        <v>8.3000000000000004E-2</v>
      </c>
      <c r="E81" s="112">
        <f>'Cash Flow %s Yr4'!E81</f>
        <v>8.3000000000000004E-2</v>
      </c>
      <c r="F81" s="112">
        <f>'Cash Flow %s Yr4'!F81</f>
        <v>8.3000000000000004E-2</v>
      </c>
      <c r="G81" s="112">
        <f>'Cash Flow %s Yr4'!G81</f>
        <v>8.3000000000000004E-2</v>
      </c>
      <c r="H81" s="112">
        <f>'Cash Flow %s Yr4'!H81</f>
        <v>8.3000000000000004E-2</v>
      </c>
      <c r="I81" s="112">
        <f>'Cash Flow %s Yr4'!I81</f>
        <v>8.3000000000000004E-2</v>
      </c>
      <c r="J81" s="112">
        <f>'Cash Flow %s Yr4'!J81</f>
        <v>8.3000000000000004E-2</v>
      </c>
      <c r="K81" s="112">
        <f>'Cash Flow %s Yr4'!K81</f>
        <v>8.3000000000000004E-2</v>
      </c>
      <c r="L81" s="112">
        <f>'Cash Flow %s Yr4'!L81</f>
        <v>8.4000000000000005E-2</v>
      </c>
      <c r="M81" s="112">
        <f>'Cash Flow %s Yr4'!M81</f>
        <v>8.4000000000000005E-2</v>
      </c>
      <c r="N81" s="112">
        <f>'Cash Flow %s Yr4'!N81</f>
        <v>8.4000000000000005E-2</v>
      </c>
      <c r="O81" s="112">
        <f>'Cash Flow %s Yr4'!O81</f>
        <v>8.4000000000000005E-2</v>
      </c>
      <c r="P81" s="112">
        <f>'Cash Flow %s Yr4'!P81</f>
        <v>0</v>
      </c>
      <c r="Q81" s="112">
        <f>'Cash Flow %s Yr4'!Q81</f>
        <v>0</v>
      </c>
      <c r="R81" s="112">
        <f>'Cash Flow %s Yr4'!R81</f>
        <v>0</v>
      </c>
      <c r="S81" s="111">
        <f t="shared" si="6"/>
        <v>0.99999999999999989</v>
      </c>
    </row>
    <row r="82" spans="1:19" s="31" customFormat="1" x14ac:dyDescent="0.2">
      <c r="A82" s="36"/>
      <c r="B82" s="67" t="str">
        <f>'Expenses Summary'!B36</f>
        <v>3323</v>
      </c>
      <c r="C82" s="67" t="str">
        <f>'Expenses Summary'!C36</f>
        <v>Medicare</v>
      </c>
      <c r="D82" s="112">
        <f>'Cash Flow %s Yr4'!D82</f>
        <v>8.3000000000000004E-2</v>
      </c>
      <c r="E82" s="112">
        <f>'Cash Flow %s Yr4'!E82</f>
        <v>8.3000000000000004E-2</v>
      </c>
      <c r="F82" s="112">
        <f>'Cash Flow %s Yr4'!F82</f>
        <v>8.3000000000000004E-2</v>
      </c>
      <c r="G82" s="112">
        <f>'Cash Flow %s Yr4'!G82</f>
        <v>8.3000000000000004E-2</v>
      </c>
      <c r="H82" s="112">
        <f>'Cash Flow %s Yr4'!H82</f>
        <v>8.3000000000000004E-2</v>
      </c>
      <c r="I82" s="112">
        <f>'Cash Flow %s Yr4'!I82</f>
        <v>8.3000000000000004E-2</v>
      </c>
      <c r="J82" s="112">
        <f>'Cash Flow %s Yr4'!J82</f>
        <v>8.3000000000000004E-2</v>
      </c>
      <c r="K82" s="112">
        <f>'Cash Flow %s Yr4'!K82</f>
        <v>8.3000000000000004E-2</v>
      </c>
      <c r="L82" s="112">
        <f>'Cash Flow %s Yr4'!L82</f>
        <v>8.4000000000000005E-2</v>
      </c>
      <c r="M82" s="112">
        <f>'Cash Flow %s Yr4'!M82</f>
        <v>8.4000000000000005E-2</v>
      </c>
      <c r="N82" s="112">
        <f>'Cash Flow %s Yr4'!N82</f>
        <v>8.4000000000000005E-2</v>
      </c>
      <c r="O82" s="112">
        <f>'Cash Flow %s Yr4'!O82</f>
        <v>8.4000000000000005E-2</v>
      </c>
      <c r="P82" s="112">
        <f>'Cash Flow %s Yr4'!P82</f>
        <v>0</v>
      </c>
      <c r="Q82" s="112">
        <f>'Cash Flow %s Yr4'!Q82</f>
        <v>0</v>
      </c>
      <c r="R82" s="112">
        <f>'Cash Flow %s Yr4'!R82</f>
        <v>0</v>
      </c>
      <c r="S82" s="111">
        <f t="shared" si="6"/>
        <v>0.99999999999999989</v>
      </c>
    </row>
    <row r="83" spans="1:19" s="31" customFormat="1" x14ac:dyDescent="0.2">
      <c r="A83" s="36"/>
      <c r="B83" s="67" t="str">
        <f>'Expenses Summary'!B37</f>
        <v>3403</v>
      </c>
      <c r="C83" s="67" t="str">
        <f>'Expenses Summary'!C37</f>
        <v>Health &amp; Welfare Benefits</v>
      </c>
      <c r="D83" s="112">
        <f>'Cash Flow %s Yr4'!D83</f>
        <v>8.3000000000000004E-2</v>
      </c>
      <c r="E83" s="112">
        <f>'Cash Flow %s Yr4'!E83</f>
        <v>8.3000000000000004E-2</v>
      </c>
      <c r="F83" s="112">
        <f>'Cash Flow %s Yr4'!F83</f>
        <v>8.3000000000000004E-2</v>
      </c>
      <c r="G83" s="112">
        <f>'Cash Flow %s Yr4'!G83</f>
        <v>8.3000000000000004E-2</v>
      </c>
      <c r="H83" s="112">
        <f>'Cash Flow %s Yr4'!H83</f>
        <v>8.3000000000000004E-2</v>
      </c>
      <c r="I83" s="112">
        <f>'Cash Flow %s Yr4'!I83</f>
        <v>8.3000000000000004E-2</v>
      </c>
      <c r="J83" s="112">
        <f>'Cash Flow %s Yr4'!J83</f>
        <v>8.3000000000000004E-2</v>
      </c>
      <c r="K83" s="112">
        <f>'Cash Flow %s Yr4'!K83</f>
        <v>8.3000000000000004E-2</v>
      </c>
      <c r="L83" s="112">
        <f>'Cash Flow %s Yr4'!L83</f>
        <v>8.4000000000000005E-2</v>
      </c>
      <c r="M83" s="112">
        <f>'Cash Flow %s Yr4'!M83</f>
        <v>8.4000000000000005E-2</v>
      </c>
      <c r="N83" s="112">
        <f>'Cash Flow %s Yr4'!N83</f>
        <v>8.4000000000000005E-2</v>
      </c>
      <c r="O83" s="112">
        <f>'Cash Flow %s Yr4'!O83</f>
        <v>8.4000000000000005E-2</v>
      </c>
      <c r="P83" s="112">
        <f>'Cash Flow %s Yr4'!P83</f>
        <v>0</v>
      </c>
      <c r="Q83" s="112">
        <f>'Cash Flow %s Yr4'!Q83</f>
        <v>0</v>
      </c>
      <c r="R83" s="112">
        <f>'Cash Flow %s Yr4'!R83</f>
        <v>0</v>
      </c>
      <c r="S83" s="111">
        <f t="shared" si="6"/>
        <v>0.99999999999999989</v>
      </c>
    </row>
    <row r="84" spans="1:19" s="31" customFormat="1" x14ac:dyDescent="0.2">
      <c r="A84" s="36"/>
      <c r="B84" s="67" t="str">
        <f>'Expenses Summary'!B38</f>
        <v>3503</v>
      </c>
      <c r="C84" s="67" t="str">
        <f>'Expenses Summary'!C38</f>
        <v>State Unemployment Insurance</v>
      </c>
      <c r="D84" s="112">
        <f>'Cash Flow %s Yr4'!D84</f>
        <v>8.3000000000000004E-2</v>
      </c>
      <c r="E84" s="112">
        <f>'Cash Flow %s Yr4'!E84</f>
        <v>8.3000000000000004E-2</v>
      </c>
      <c r="F84" s="112">
        <f>'Cash Flow %s Yr4'!F84</f>
        <v>8.3000000000000004E-2</v>
      </c>
      <c r="G84" s="112">
        <f>'Cash Flow %s Yr4'!G84</f>
        <v>8.3000000000000004E-2</v>
      </c>
      <c r="H84" s="112">
        <f>'Cash Flow %s Yr4'!H84</f>
        <v>8.3000000000000004E-2</v>
      </c>
      <c r="I84" s="112">
        <f>'Cash Flow %s Yr4'!I84</f>
        <v>8.3000000000000004E-2</v>
      </c>
      <c r="J84" s="112">
        <f>'Cash Flow %s Yr4'!J84</f>
        <v>8.3000000000000004E-2</v>
      </c>
      <c r="K84" s="112">
        <f>'Cash Flow %s Yr4'!K84</f>
        <v>8.3000000000000004E-2</v>
      </c>
      <c r="L84" s="112">
        <f>'Cash Flow %s Yr4'!L84</f>
        <v>8.4000000000000005E-2</v>
      </c>
      <c r="M84" s="112">
        <f>'Cash Flow %s Yr4'!M84</f>
        <v>8.4000000000000005E-2</v>
      </c>
      <c r="N84" s="112">
        <f>'Cash Flow %s Yr4'!N84</f>
        <v>8.4000000000000005E-2</v>
      </c>
      <c r="O84" s="112">
        <f>'Cash Flow %s Yr4'!O84</f>
        <v>8.4000000000000005E-2</v>
      </c>
      <c r="P84" s="112">
        <f>'Cash Flow %s Yr4'!P84</f>
        <v>0</v>
      </c>
      <c r="Q84" s="112">
        <f>'Cash Flow %s Yr4'!Q84</f>
        <v>0</v>
      </c>
      <c r="R84" s="112">
        <f>'Cash Flow %s Yr4'!R84</f>
        <v>0</v>
      </c>
      <c r="S84" s="111">
        <f t="shared" si="6"/>
        <v>0.99999999999999989</v>
      </c>
    </row>
    <row r="85" spans="1:19" s="31" customFormat="1" x14ac:dyDescent="0.2">
      <c r="A85" s="36"/>
      <c r="B85" s="67" t="str">
        <f>'Expenses Summary'!B39</f>
        <v>3603</v>
      </c>
      <c r="C85" s="67" t="str">
        <f>'Expenses Summary'!C39</f>
        <v>Worker Compensation Insurance</v>
      </c>
      <c r="D85" s="112">
        <f>'Cash Flow %s Yr4'!D85</f>
        <v>8.3000000000000004E-2</v>
      </c>
      <c r="E85" s="112">
        <f>'Cash Flow %s Yr4'!E85</f>
        <v>8.3000000000000004E-2</v>
      </c>
      <c r="F85" s="112">
        <f>'Cash Flow %s Yr4'!F85</f>
        <v>8.3000000000000004E-2</v>
      </c>
      <c r="G85" s="112">
        <f>'Cash Flow %s Yr4'!G85</f>
        <v>8.3000000000000004E-2</v>
      </c>
      <c r="H85" s="112">
        <f>'Cash Flow %s Yr4'!H85</f>
        <v>8.3000000000000004E-2</v>
      </c>
      <c r="I85" s="112">
        <f>'Cash Flow %s Yr4'!I85</f>
        <v>8.3000000000000004E-2</v>
      </c>
      <c r="J85" s="112">
        <f>'Cash Flow %s Yr4'!J85</f>
        <v>8.3000000000000004E-2</v>
      </c>
      <c r="K85" s="112">
        <f>'Cash Flow %s Yr4'!K85</f>
        <v>8.3000000000000004E-2</v>
      </c>
      <c r="L85" s="112">
        <f>'Cash Flow %s Yr4'!L85</f>
        <v>8.4000000000000005E-2</v>
      </c>
      <c r="M85" s="112">
        <f>'Cash Flow %s Yr4'!M85</f>
        <v>8.4000000000000005E-2</v>
      </c>
      <c r="N85" s="112">
        <f>'Cash Flow %s Yr4'!N85</f>
        <v>8.4000000000000005E-2</v>
      </c>
      <c r="O85" s="112">
        <f>'Cash Flow %s Yr4'!O85</f>
        <v>8.4000000000000005E-2</v>
      </c>
      <c r="P85" s="112">
        <f>'Cash Flow %s Yr4'!P85</f>
        <v>0</v>
      </c>
      <c r="Q85" s="112">
        <f>'Cash Flow %s Yr4'!Q85</f>
        <v>0</v>
      </c>
      <c r="R85" s="112">
        <f>'Cash Flow %s Yr4'!R85</f>
        <v>0</v>
      </c>
      <c r="S85" s="111">
        <f t="shared" si="6"/>
        <v>0.99999999999999989</v>
      </c>
    </row>
    <row r="86" spans="1:19" s="31" customFormat="1" x14ac:dyDescent="0.2">
      <c r="A86" s="36"/>
      <c r="B86" s="67" t="str">
        <f>'Expenses Summary'!B40</f>
        <v>3703</v>
      </c>
      <c r="C86" s="67" t="str">
        <f>'Expenses Summary'!C40</f>
        <v>Other Post Employement Benefits</v>
      </c>
      <c r="D86" s="112">
        <f>'Cash Flow %s Yr4'!D86</f>
        <v>8.3000000000000004E-2</v>
      </c>
      <c r="E86" s="112">
        <f>'Cash Flow %s Yr4'!E86</f>
        <v>8.3000000000000004E-2</v>
      </c>
      <c r="F86" s="112">
        <f>'Cash Flow %s Yr4'!F86</f>
        <v>8.3000000000000004E-2</v>
      </c>
      <c r="G86" s="112">
        <f>'Cash Flow %s Yr4'!G86</f>
        <v>8.3000000000000004E-2</v>
      </c>
      <c r="H86" s="112">
        <f>'Cash Flow %s Yr4'!H86</f>
        <v>8.3000000000000004E-2</v>
      </c>
      <c r="I86" s="112">
        <f>'Cash Flow %s Yr4'!I86</f>
        <v>8.3000000000000004E-2</v>
      </c>
      <c r="J86" s="112">
        <f>'Cash Flow %s Yr4'!J86</f>
        <v>8.3000000000000004E-2</v>
      </c>
      <c r="K86" s="112">
        <f>'Cash Flow %s Yr4'!K86</f>
        <v>8.3000000000000004E-2</v>
      </c>
      <c r="L86" s="112">
        <f>'Cash Flow %s Yr4'!L86</f>
        <v>8.4000000000000005E-2</v>
      </c>
      <c r="M86" s="112">
        <f>'Cash Flow %s Yr4'!M86</f>
        <v>8.4000000000000005E-2</v>
      </c>
      <c r="N86" s="112">
        <f>'Cash Flow %s Yr4'!N86</f>
        <v>8.4000000000000005E-2</v>
      </c>
      <c r="O86" s="112">
        <f>'Cash Flow %s Yr4'!O86</f>
        <v>8.4000000000000005E-2</v>
      </c>
      <c r="P86" s="112">
        <f>'Cash Flow %s Yr4'!P86</f>
        <v>0</v>
      </c>
      <c r="Q86" s="112">
        <f>'Cash Flow %s Yr4'!Q86</f>
        <v>0</v>
      </c>
      <c r="R86" s="112">
        <f>'Cash Flow %s Yr4'!R86</f>
        <v>0</v>
      </c>
      <c r="S86" s="111">
        <f t="shared" si="6"/>
        <v>0.99999999999999989</v>
      </c>
    </row>
    <row r="87" spans="1:19" s="31" customFormat="1" x14ac:dyDescent="0.2">
      <c r="A87" s="36"/>
      <c r="B87" s="67" t="str">
        <f>'Expenses Summary'!B41</f>
        <v>3903</v>
      </c>
      <c r="C87" s="67" t="str">
        <f>'Expenses Summary'!C41</f>
        <v>Other Benefits</v>
      </c>
      <c r="D87" s="112">
        <f>'Cash Flow %s Yr4'!D87</f>
        <v>8.3000000000000004E-2</v>
      </c>
      <c r="E87" s="112">
        <f>'Cash Flow %s Yr4'!E87</f>
        <v>8.3000000000000004E-2</v>
      </c>
      <c r="F87" s="112">
        <f>'Cash Flow %s Yr4'!F87</f>
        <v>8.3000000000000004E-2</v>
      </c>
      <c r="G87" s="112">
        <f>'Cash Flow %s Yr4'!G87</f>
        <v>8.3000000000000004E-2</v>
      </c>
      <c r="H87" s="112">
        <f>'Cash Flow %s Yr4'!H87</f>
        <v>8.3000000000000004E-2</v>
      </c>
      <c r="I87" s="112">
        <f>'Cash Flow %s Yr4'!I87</f>
        <v>8.3000000000000004E-2</v>
      </c>
      <c r="J87" s="112">
        <f>'Cash Flow %s Yr4'!J87</f>
        <v>8.3000000000000004E-2</v>
      </c>
      <c r="K87" s="112">
        <f>'Cash Flow %s Yr4'!K87</f>
        <v>8.3000000000000004E-2</v>
      </c>
      <c r="L87" s="112">
        <f>'Cash Flow %s Yr4'!L87</f>
        <v>8.4000000000000005E-2</v>
      </c>
      <c r="M87" s="112">
        <f>'Cash Flow %s Yr4'!M87</f>
        <v>8.4000000000000005E-2</v>
      </c>
      <c r="N87" s="112">
        <f>'Cash Flow %s Yr4'!N87</f>
        <v>8.4000000000000005E-2</v>
      </c>
      <c r="O87" s="112">
        <f>'Cash Flow %s Yr4'!O87</f>
        <v>8.4000000000000005E-2</v>
      </c>
      <c r="P87" s="112">
        <f>'Cash Flow %s Yr4'!P87</f>
        <v>0</v>
      </c>
      <c r="Q87" s="112">
        <f>'Cash Flow %s Yr4'!Q87</f>
        <v>0</v>
      </c>
      <c r="R87" s="112">
        <f>'Cash Flow %s Yr4'!R87</f>
        <v>0</v>
      </c>
      <c r="S87" s="111">
        <f t="shared" si="6"/>
        <v>0.99999999999999989</v>
      </c>
    </row>
    <row r="88" spans="1:19" s="31" customFormat="1" x14ac:dyDescent="0.2">
      <c r="A88" s="36"/>
      <c r="B88" s="122"/>
      <c r="C88" s="122"/>
      <c r="D88" s="123"/>
      <c r="E88" s="123"/>
      <c r="F88" s="123"/>
      <c r="G88" s="123"/>
      <c r="H88" s="123"/>
      <c r="I88" s="123"/>
      <c r="J88" s="123"/>
      <c r="K88" s="123"/>
      <c r="L88" s="123"/>
      <c r="M88" s="123"/>
      <c r="N88" s="123"/>
      <c r="O88" s="123"/>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c r="S89" s="111"/>
    </row>
    <row r="90" spans="1:19" s="31" customFormat="1" x14ac:dyDescent="0.2">
      <c r="B90" s="34" t="s">
        <v>678</v>
      </c>
      <c r="C90" s="3"/>
      <c r="D90" s="95"/>
      <c r="E90" s="95"/>
      <c r="F90" s="95"/>
      <c r="G90" s="95"/>
      <c r="H90" s="95"/>
      <c r="I90" s="95"/>
      <c r="J90" s="95"/>
      <c r="K90" s="95"/>
      <c r="L90" s="95"/>
      <c r="M90" s="95"/>
      <c r="N90" s="95"/>
      <c r="O90" s="95"/>
      <c r="P90" s="95"/>
      <c r="Q90" s="95"/>
      <c r="R90" s="95"/>
      <c r="S90" s="111"/>
    </row>
    <row r="91" spans="1:19" s="31" customFormat="1" x14ac:dyDescent="0.2">
      <c r="A91" s="36"/>
      <c r="B91" s="66" t="str">
        <f>'Expenses Summary'!B47</f>
        <v>4100</v>
      </c>
      <c r="C91" s="66" t="str">
        <f>'Expenses Summary'!C47</f>
        <v>Approved Textbooks and Core Curricula Materials</v>
      </c>
      <c r="D91" s="112">
        <f>'Cash Flow %s Yr4'!D91</f>
        <v>0</v>
      </c>
      <c r="E91" s="112">
        <f>'Cash Flow %s Yr4'!E91</f>
        <v>0</v>
      </c>
      <c r="F91" s="112">
        <f>'Cash Flow %s Yr4'!F91</f>
        <v>0</v>
      </c>
      <c r="G91" s="112">
        <f>'Cash Flow %s Yr4'!G91</f>
        <v>0</v>
      </c>
      <c r="H91" s="112">
        <f>'Cash Flow %s Yr4'!H91</f>
        <v>0.25</v>
      </c>
      <c r="I91" s="112">
        <f>'Cash Flow %s Yr4'!I91</f>
        <v>0.25</v>
      </c>
      <c r="J91" s="112">
        <f>'Cash Flow %s Yr4'!J91</f>
        <v>0.25</v>
      </c>
      <c r="K91" s="112">
        <f>'Cash Flow %s Yr4'!K91</f>
        <v>0</v>
      </c>
      <c r="L91" s="112">
        <f>'Cash Flow %s Yr4'!L91</f>
        <v>0.25</v>
      </c>
      <c r="M91" s="112">
        <f>'Cash Flow %s Yr4'!M91</f>
        <v>0</v>
      </c>
      <c r="N91" s="112">
        <f>'Cash Flow %s Yr4'!N91</f>
        <v>0</v>
      </c>
      <c r="O91" s="112">
        <f>'Cash Flow %s Yr4'!O91</f>
        <v>0</v>
      </c>
      <c r="P91" s="112">
        <f>'Cash Flow %s Yr4'!P91</f>
        <v>0</v>
      </c>
      <c r="Q91" s="112">
        <f>'Cash Flow %s Yr4'!Q91</f>
        <v>0</v>
      </c>
      <c r="R91" s="112">
        <f>'Cash Flow %s Yr4'!R91</f>
        <v>0</v>
      </c>
      <c r="S91" s="111">
        <f t="shared" ref="S91:S96" si="7">SUM(D91:R91)</f>
        <v>1</v>
      </c>
    </row>
    <row r="92" spans="1:19" x14ac:dyDescent="0.2">
      <c r="A92" s="36"/>
      <c r="B92" s="66" t="str">
        <f>'Expenses Summary'!B48</f>
        <v>4200</v>
      </c>
      <c r="C92" s="66" t="str">
        <f>'Expenses Summary'!C48</f>
        <v>Books and Other Reference Materials</v>
      </c>
      <c r="D92" s="112">
        <f>'Cash Flow %s Yr4'!D92</f>
        <v>0</v>
      </c>
      <c r="E92" s="112">
        <f>'Cash Flow %s Yr4'!E92</f>
        <v>0</v>
      </c>
      <c r="F92" s="112">
        <f>'Cash Flow %s Yr4'!F92</f>
        <v>0</v>
      </c>
      <c r="G92" s="112">
        <f>'Cash Flow %s Yr4'!G92</f>
        <v>0</v>
      </c>
      <c r="H92" s="112">
        <f>'Cash Flow %s Yr4'!H92</f>
        <v>0.25</v>
      </c>
      <c r="I92" s="112">
        <f>'Cash Flow %s Yr4'!I92</f>
        <v>0.25</v>
      </c>
      <c r="J92" s="112">
        <f>'Cash Flow %s Yr4'!J92</f>
        <v>0.25</v>
      </c>
      <c r="K92" s="112">
        <f>'Cash Flow %s Yr4'!K92</f>
        <v>0</v>
      </c>
      <c r="L92" s="112">
        <f>'Cash Flow %s Yr4'!L92</f>
        <v>0.25</v>
      </c>
      <c r="M92" s="112">
        <f>'Cash Flow %s Yr4'!M92</f>
        <v>0</v>
      </c>
      <c r="N92" s="112">
        <f>'Cash Flow %s Yr4'!N92</f>
        <v>0</v>
      </c>
      <c r="O92" s="112">
        <f>'Cash Flow %s Yr4'!O92</f>
        <v>0</v>
      </c>
      <c r="P92" s="112">
        <f>'Cash Flow %s Yr4'!P92</f>
        <v>0</v>
      </c>
      <c r="Q92" s="112">
        <f>'Cash Flow %s Yr4'!Q92</f>
        <v>0</v>
      </c>
      <c r="R92" s="112">
        <f>'Cash Flow %s Yr4'!R92</f>
        <v>0</v>
      </c>
      <c r="S92" s="111">
        <f t="shared" si="7"/>
        <v>1</v>
      </c>
    </row>
    <row r="93" spans="1:19" x14ac:dyDescent="0.2">
      <c r="A93" s="36"/>
      <c r="B93" s="66" t="str">
        <f>'Expenses Summary'!B49</f>
        <v>4300</v>
      </c>
      <c r="C93" s="66" t="str">
        <f>'Expenses Summary'!C49</f>
        <v>Materials and Supplies</v>
      </c>
      <c r="D93" s="112">
        <f>'Cash Flow %s Yr4'!D93</f>
        <v>0</v>
      </c>
      <c r="E93" s="112">
        <f>'Cash Flow %s Yr4'!E93</f>
        <v>0</v>
      </c>
      <c r="F93" s="112">
        <f>'Cash Flow %s Yr4'!F93</f>
        <v>0.3</v>
      </c>
      <c r="G93" s="112">
        <f>'Cash Flow %s Yr4'!G93</f>
        <v>0</v>
      </c>
      <c r="H93" s="112">
        <f>'Cash Flow %s Yr4'!H93</f>
        <v>0.3</v>
      </c>
      <c r="I93" s="112">
        <f>'Cash Flow %s Yr4'!I93</f>
        <v>0</v>
      </c>
      <c r="J93" s="112">
        <f>'Cash Flow %s Yr4'!J93</f>
        <v>0.3</v>
      </c>
      <c r="K93" s="112">
        <f>'Cash Flow %s Yr4'!K93</f>
        <v>0</v>
      </c>
      <c r="L93" s="112">
        <f>'Cash Flow %s Yr4'!L93</f>
        <v>0.1</v>
      </c>
      <c r="M93" s="112">
        <f>'Cash Flow %s Yr4'!M93</f>
        <v>0</v>
      </c>
      <c r="N93" s="112">
        <f>'Cash Flow %s Yr4'!N93</f>
        <v>0</v>
      </c>
      <c r="O93" s="112">
        <f>'Cash Flow %s Yr4'!O93</f>
        <v>0</v>
      </c>
      <c r="P93" s="112">
        <f>'Cash Flow %s Yr4'!P93</f>
        <v>0</v>
      </c>
      <c r="Q93" s="112">
        <f>'Cash Flow %s Yr4'!Q93</f>
        <v>0</v>
      </c>
      <c r="R93" s="112">
        <f>'Cash Flow %s Yr4'!R93</f>
        <v>0</v>
      </c>
      <c r="S93" s="111">
        <f t="shared" si="7"/>
        <v>0.99999999999999989</v>
      </c>
    </row>
    <row r="94" spans="1:19" x14ac:dyDescent="0.2">
      <c r="A94" s="36"/>
      <c r="B94" s="66" t="str">
        <f>'Expenses Summary'!B50</f>
        <v>4315</v>
      </c>
      <c r="C94" s="66" t="str">
        <f>'Expenses Summary'!C50</f>
        <v>Classroom Materials and Supplies</v>
      </c>
      <c r="D94" s="112">
        <f>'Cash Flow %s Yr4'!D94</f>
        <v>0</v>
      </c>
      <c r="E94" s="112">
        <f>'Cash Flow %s Yr4'!E94</f>
        <v>0</v>
      </c>
      <c r="F94" s="112">
        <f>'Cash Flow %s Yr4'!F94</f>
        <v>0.1</v>
      </c>
      <c r="G94" s="112">
        <f>'Cash Flow %s Yr4'!G94</f>
        <v>0.1</v>
      </c>
      <c r="H94" s="112">
        <f>'Cash Flow %s Yr4'!H94</f>
        <v>0.2</v>
      </c>
      <c r="I94" s="112">
        <f>'Cash Flow %s Yr4'!I94</f>
        <v>0.1</v>
      </c>
      <c r="J94" s="112">
        <f>'Cash Flow %s Yr4'!J94</f>
        <v>0.2</v>
      </c>
      <c r="K94" s="112">
        <f>'Cash Flow %s Yr4'!K94</f>
        <v>0.1</v>
      </c>
      <c r="L94" s="112">
        <f>'Cash Flow %s Yr4'!L94</f>
        <v>0.1</v>
      </c>
      <c r="M94" s="112">
        <f>'Cash Flow %s Yr4'!M94</f>
        <v>0.1</v>
      </c>
      <c r="N94" s="112">
        <f>'Cash Flow %s Yr4'!N94</f>
        <v>0</v>
      </c>
      <c r="O94" s="112">
        <f>'Cash Flow %s Yr4'!O94</f>
        <v>0</v>
      </c>
      <c r="P94" s="112">
        <f>'Cash Flow %s Yr4'!P94</f>
        <v>0</v>
      </c>
      <c r="Q94" s="112">
        <f>'Cash Flow %s Yr4'!Q94</f>
        <v>0</v>
      </c>
      <c r="R94" s="112">
        <f>'Cash Flow %s Yr4'!R94</f>
        <v>0</v>
      </c>
      <c r="S94" s="111">
        <f t="shared" si="7"/>
        <v>0.99999999999999989</v>
      </c>
    </row>
    <row r="95" spans="1:19" x14ac:dyDescent="0.2">
      <c r="A95" s="36"/>
      <c r="B95" s="66" t="str">
        <f>'Expenses Summary'!B51</f>
        <v>4400</v>
      </c>
      <c r="C95" s="66" t="str">
        <f>'Expenses Summary'!C51</f>
        <v>Noncapitalized Equipment</v>
      </c>
      <c r="D95" s="112">
        <f>'Cash Flow %s Yr4'!D95</f>
        <v>8.3000000000000004E-2</v>
      </c>
      <c r="E95" s="112">
        <f>'Cash Flow %s Yr4'!E95</f>
        <v>8.3000000000000004E-2</v>
      </c>
      <c r="F95" s="112">
        <f>'Cash Flow %s Yr4'!F95</f>
        <v>8.3000000000000004E-2</v>
      </c>
      <c r="G95" s="112">
        <f>'Cash Flow %s Yr4'!G95</f>
        <v>8.3000000000000004E-2</v>
      </c>
      <c r="H95" s="112">
        <f>'Cash Flow %s Yr4'!H95</f>
        <v>8.3000000000000004E-2</v>
      </c>
      <c r="I95" s="112">
        <f>'Cash Flow %s Yr4'!I95</f>
        <v>8.3000000000000004E-2</v>
      </c>
      <c r="J95" s="112">
        <f>'Cash Flow %s Yr4'!J95</f>
        <v>8.3000000000000004E-2</v>
      </c>
      <c r="K95" s="112">
        <f>'Cash Flow %s Yr4'!K95</f>
        <v>8.3000000000000004E-2</v>
      </c>
      <c r="L95" s="112">
        <f>'Cash Flow %s Yr4'!L95</f>
        <v>8.4000000000000005E-2</v>
      </c>
      <c r="M95" s="112">
        <f>'Cash Flow %s Yr4'!M95</f>
        <v>8.4000000000000005E-2</v>
      </c>
      <c r="N95" s="112">
        <f>'Cash Flow %s Yr4'!N95</f>
        <v>8.4000000000000005E-2</v>
      </c>
      <c r="O95" s="112">
        <f>'Cash Flow %s Yr4'!O95</f>
        <v>8.4000000000000005E-2</v>
      </c>
      <c r="P95" s="112">
        <f>'Cash Flow %s Yr4'!P95</f>
        <v>0</v>
      </c>
      <c r="Q95" s="112">
        <f>'Cash Flow %s Yr4'!Q95</f>
        <v>0</v>
      </c>
      <c r="R95" s="112">
        <f>'Cash Flow %s Yr4'!R95</f>
        <v>0</v>
      </c>
      <c r="S95" s="111">
        <f t="shared" si="7"/>
        <v>0.99999999999999989</v>
      </c>
    </row>
    <row r="96" spans="1:19" x14ac:dyDescent="0.2">
      <c r="A96" s="36"/>
      <c r="B96" s="66" t="str">
        <f>'Expenses Summary'!B52</f>
        <v>4430</v>
      </c>
      <c r="C96" s="66" t="str">
        <f>'Expenses Summary'!C52</f>
        <v>General Student Equipment</v>
      </c>
      <c r="D96" s="112">
        <f>'Cash Flow %s Yr4'!D96</f>
        <v>0</v>
      </c>
      <c r="E96" s="112">
        <f>'Cash Flow %s Yr4'!E96</f>
        <v>0</v>
      </c>
      <c r="F96" s="112">
        <f>'Cash Flow %s Yr4'!F96</f>
        <v>0.6</v>
      </c>
      <c r="G96" s="112">
        <f>'Cash Flow %s Yr4'!G96</f>
        <v>0</v>
      </c>
      <c r="H96" s="112">
        <f>'Cash Flow %s Yr4'!H96</f>
        <v>0</v>
      </c>
      <c r="I96" s="112">
        <f>'Cash Flow %s Yr4'!I96</f>
        <v>0</v>
      </c>
      <c r="J96" s="112">
        <f>'Cash Flow %s Yr4'!J96</f>
        <v>0.4</v>
      </c>
      <c r="K96" s="112">
        <f>'Cash Flow %s Yr4'!K96</f>
        <v>0</v>
      </c>
      <c r="L96" s="112">
        <f>'Cash Flow %s Yr4'!L96</f>
        <v>0</v>
      </c>
      <c r="M96" s="112">
        <f>'Cash Flow %s Yr4'!M96</f>
        <v>0</v>
      </c>
      <c r="N96" s="112">
        <f>'Cash Flow %s Yr4'!N96</f>
        <v>0</v>
      </c>
      <c r="O96" s="112">
        <f>'Cash Flow %s Yr4'!O96</f>
        <v>0</v>
      </c>
      <c r="P96" s="112">
        <f>'Cash Flow %s Yr4'!P96</f>
        <v>0</v>
      </c>
      <c r="Q96" s="112">
        <f>'Cash Flow %s Yr4'!Q96</f>
        <v>0</v>
      </c>
      <c r="R96" s="112">
        <f>'Cash Flow %s Yr4'!R96</f>
        <v>0</v>
      </c>
      <c r="S96" s="111">
        <f t="shared" si="7"/>
        <v>1</v>
      </c>
    </row>
    <row r="97" spans="1:19" hidden="1" outlineLevel="1" x14ac:dyDescent="0.2">
      <c r="A97" s="36"/>
      <c r="B97" s="66">
        <f>'Expenses Summary'!B53</f>
        <v>0</v>
      </c>
      <c r="C97" s="66">
        <f>'Expenses Summary'!C53</f>
        <v>0</v>
      </c>
      <c r="D97" s="112">
        <f>'Cash Flow %s Yr4'!D97</f>
        <v>0</v>
      </c>
      <c r="E97" s="112">
        <f>'Cash Flow %s Yr4'!E97</f>
        <v>0</v>
      </c>
      <c r="F97" s="112">
        <f>'Cash Flow %s Yr4'!F97</f>
        <v>0.1</v>
      </c>
      <c r="G97" s="112">
        <f>'Cash Flow %s Yr4'!G97</f>
        <v>0.1</v>
      </c>
      <c r="H97" s="112">
        <f>'Cash Flow %s Yr4'!H97</f>
        <v>0.1</v>
      </c>
      <c r="I97" s="112">
        <f>'Cash Flow %s Yr4'!I97</f>
        <v>0.1</v>
      </c>
      <c r="J97" s="112">
        <f>'Cash Flow %s Yr4'!J97</f>
        <v>0.1</v>
      </c>
      <c r="K97" s="112">
        <f>'Cash Flow %s Yr4'!K97</f>
        <v>0.1</v>
      </c>
      <c r="L97" s="112">
        <f>'Cash Flow %s Yr4'!L97</f>
        <v>0.1</v>
      </c>
      <c r="M97" s="112">
        <f>'Cash Flow %s Yr4'!M97</f>
        <v>0.1</v>
      </c>
      <c r="N97" s="112">
        <f>'Cash Flow %s Yr4'!N97</f>
        <v>0.1</v>
      </c>
      <c r="O97" s="112">
        <f>'Cash Flow %s Yr4'!O97</f>
        <v>0.1</v>
      </c>
      <c r="P97" s="112">
        <f>'Cash Flow %s Yr4'!P97</f>
        <v>0</v>
      </c>
      <c r="Q97" s="112">
        <f>'Cash Flow %s Yr4'!Q97</f>
        <v>0</v>
      </c>
      <c r="R97" s="112">
        <f>'Cash Flow %s Yr4'!R97</f>
        <v>0</v>
      </c>
      <c r="S97" s="111">
        <f t="shared" ref="S97:S106" si="8">SUM(D97:R97)</f>
        <v>0.99999999999999989</v>
      </c>
    </row>
    <row r="98" spans="1:19" hidden="1" outlineLevel="1" x14ac:dyDescent="0.2">
      <c r="A98" s="36"/>
      <c r="B98" s="66">
        <f>'Expenses Summary'!B54</f>
        <v>0</v>
      </c>
      <c r="C98" s="66">
        <f>'Expenses Summary'!C54</f>
        <v>0</v>
      </c>
      <c r="D98" s="112">
        <f>'Cash Flow %s Yr4'!D98</f>
        <v>0</v>
      </c>
      <c r="E98" s="112">
        <f>'Cash Flow %s Yr4'!E98</f>
        <v>0</v>
      </c>
      <c r="F98" s="112">
        <f>'Cash Flow %s Yr4'!F98</f>
        <v>0.1</v>
      </c>
      <c r="G98" s="112">
        <f>'Cash Flow %s Yr4'!G98</f>
        <v>0.1</v>
      </c>
      <c r="H98" s="112">
        <f>'Cash Flow %s Yr4'!H98</f>
        <v>0.1</v>
      </c>
      <c r="I98" s="112">
        <f>'Cash Flow %s Yr4'!I98</f>
        <v>0.1</v>
      </c>
      <c r="J98" s="112">
        <f>'Cash Flow %s Yr4'!J98</f>
        <v>0.1</v>
      </c>
      <c r="K98" s="112">
        <f>'Cash Flow %s Yr4'!K98</f>
        <v>0.1</v>
      </c>
      <c r="L98" s="112">
        <f>'Cash Flow %s Yr4'!L98</f>
        <v>0.1</v>
      </c>
      <c r="M98" s="112">
        <f>'Cash Flow %s Yr4'!M98</f>
        <v>0.1</v>
      </c>
      <c r="N98" s="112">
        <f>'Cash Flow %s Yr4'!N98</f>
        <v>0.1</v>
      </c>
      <c r="O98" s="112">
        <f>'Cash Flow %s Yr4'!O98</f>
        <v>0.1</v>
      </c>
      <c r="P98" s="112">
        <f>'Cash Flow %s Yr4'!P98</f>
        <v>0</v>
      </c>
      <c r="Q98" s="112">
        <f>'Cash Flow %s Yr4'!Q98</f>
        <v>0</v>
      </c>
      <c r="R98" s="112">
        <f>'Cash Flow %s Yr4'!R98</f>
        <v>0</v>
      </c>
      <c r="S98" s="111">
        <f t="shared" si="8"/>
        <v>0.99999999999999989</v>
      </c>
    </row>
    <row r="99" spans="1:19" hidden="1" outlineLevel="1" x14ac:dyDescent="0.2">
      <c r="A99" s="36"/>
      <c r="B99" s="66">
        <f>'Expenses Summary'!B55</f>
        <v>0</v>
      </c>
      <c r="C99" s="66">
        <f>'Expenses Summary'!C55</f>
        <v>0</v>
      </c>
      <c r="D99" s="112">
        <f>'Cash Flow %s Yr4'!D99</f>
        <v>0</v>
      </c>
      <c r="E99" s="112">
        <f>'Cash Flow %s Yr4'!E99</f>
        <v>0</v>
      </c>
      <c r="F99" s="112">
        <f>'Cash Flow %s Yr4'!F99</f>
        <v>0.1</v>
      </c>
      <c r="G99" s="112">
        <f>'Cash Flow %s Yr4'!G99</f>
        <v>0.1</v>
      </c>
      <c r="H99" s="112">
        <f>'Cash Flow %s Yr4'!H99</f>
        <v>0.1</v>
      </c>
      <c r="I99" s="112">
        <f>'Cash Flow %s Yr4'!I99</f>
        <v>0.1</v>
      </c>
      <c r="J99" s="112">
        <f>'Cash Flow %s Yr4'!J99</f>
        <v>0.1</v>
      </c>
      <c r="K99" s="112">
        <f>'Cash Flow %s Yr4'!K99</f>
        <v>0.1</v>
      </c>
      <c r="L99" s="112">
        <f>'Cash Flow %s Yr4'!L99</f>
        <v>0.1</v>
      </c>
      <c r="M99" s="112">
        <f>'Cash Flow %s Yr4'!M99</f>
        <v>0.1</v>
      </c>
      <c r="N99" s="112">
        <f>'Cash Flow %s Yr4'!N99</f>
        <v>0.1</v>
      </c>
      <c r="O99" s="112">
        <f>'Cash Flow %s Yr4'!O99</f>
        <v>0.1</v>
      </c>
      <c r="P99" s="112">
        <f>'Cash Flow %s Yr4'!P99</f>
        <v>0</v>
      </c>
      <c r="Q99" s="112">
        <f>'Cash Flow %s Yr4'!Q99</f>
        <v>0</v>
      </c>
      <c r="R99" s="112">
        <f>'Cash Flow %s Yr4'!R99</f>
        <v>0</v>
      </c>
      <c r="S99" s="111">
        <f t="shared" si="8"/>
        <v>0.99999999999999989</v>
      </c>
    </row>
    <row r="100" spans="1:19" hidden="1" outlineLevel="1" x14ac:dyDescent="0.2">
      <c r="A100" s="36"/>
      <c r="B100" s="66">
        <f>'Expenses Summary'!B56</f>
        <v>0</v>
      </c>
      <c r="C100" s="66">
        <f>'Expenses Summary'!C56</f>
        <v>0</v>
      </c>
      <c r="D100" s="112">
        <f>'Cash Flow %s Yr4'!D100</f>
        <v>0</v>
      </c>
      <c r="E100" s="112">
        <f>'Cash Flow %s Yr4'!E100</f>
        <v>0</v>
      </c>
      <c r="F100" s="112">
        <f>'Cash Flow %s Yr4'!F100</f>
        <v>0.1</v>
      </c>
      <c r="G100" s="112">
        <f>'Cash Flow %s Yr4'!G100</f>
        <v>0.1</v>
      </c>
      <c r="H100" s="112">
        <f>'Cash Flow %s Yr4'!H100</f>
        <v>0.1</v>
      </c>
      <c r="I100" s="112">
        <f>'Cash Flow %s Yr4'!I100</f>
        <v>0.1</v>
      </c>
      <c r="J100" s="112">
        <f>'Cash Flow %s Yr4'!J100</f>
        <v>0.1</v>
      </c>
      <c r="K100" s="112">
        <f>'Cash Flow %s Yr4'!K100</f>
        <v>0.1</v>
      </c>
      <c r="L100" s="112">
        <f>'Cash Flow %s Yr4'!L100</f>
        <v>0.1</v>
      </c>
      <c r="M100" s="112">
        <f>'Cash Flow %s Yr4'!M100</f>
        <v>0.1</v>
      </c>
      <c r="N100" s="112">
        <f>'Cash Flow %s Yr4'!N100</f>
        <v>0.1</v>
      </c>
      <c r="O100" s="112">
        <f>'Cash Flow %s Yr4'!O100</f>
        <v>0.1</v>
      </c>
      <c r="P100" s="112">
        <f>'Cash Flow %s Yr4'!P100</f>
        <v>0</v>
      </c>
      <c r="Q100" s="112">
        <f>'Cash Flow %s Yr4'!Q100</f>
        <v>0</v>
      </c>
      <c r="R100" s="112">
        <f>'Cash Flow %s Yr4'!R100</f>
        <v>0</v>
      </c>
      <c r="S100" s="111">
        <f t="shared" si="8"/>
        <v>0.99999999999999989</v>
      </c>
    </row>
    <row r="101" spans="1:19" hidden="1" outlineLevel="1" x14ac:dyDescent="0.2">
      <c r="A101" s="36"/>
      <c r="B101" s="66">
        <f>'Expenses Summary'!B57</f>
        <v>0</v>
      </c>
      <c r="C101" s="66">
        <f>'Expenses Summary'!C57</f>
        <v>0</v>
      </c>
      <c r="D101" s="112">
        <f>'Cash Flow %s Yr4'!D101</f>
        <v>0</v>
      </c>
      <c r="E101" s="112">
        <f>'Cash Flow %s Yr4'!E101</f>
        <v>0</v>
      </c>
      <c r="F101" s="112">
        <f>'Cash Flow %s Yr4'!F101</f>
        <v>0.1</v>
      </c>
      <c r="G101" s="112">
        <f>'Cash Flow %s Yr4'!G101</f>
        <v>0.1</v>
      </c>
      <c r="H101" s="112">
        <f>'Cash Flow %s Yr4'!H101</f>
        <v>0.1</v>
      </c>
      <c r="I101" s="112">
        <f>'Cash Flow %s Yr4'!I101</f>
        <v>0.1</v>
      </c>
      <c r="J101" s="112">
        <f>'Cash Flow %s Yr4'!J101</f>
        <v>0.1</v>
      </c>
      <c r="K101" s="112">
        <f>'Cash Flow %s Yr4'!K101</f>
        <v>0.1</v>
      </c>
      <c r="L101" s="112">
        <f>'Cash Flow %s Yr4'!L101</f>
        <v>0.1</v>
      </c>
      <c r="M101" s="112">
        <f>'Cash Flow %s Yr4'!M101</f>
        <v>0.1</v>
      </c>
      <c r="N101" s="112">
        <f>'Cash Flow %s Yr4'!N101</f>
        <v>0.1</v>
      </c>
      <c r="O101" s="112">
        <f>'Cash Flow %s Yr4'!O101</f>
        <v>0.1</v>
      </c>
      <c r="P101" s="112">
        <f>'Cash Flow %s Yr4'!P101</f>
        <v>0</v>
      </c>
      <c r="Q101" s="112">
        <f>'Cash Flow %s Yr4'!Q101</f>
        <v>0</v>
      </c>
      <c r="R101" s="112">
        <f>'Cash Flow %s Yr4'!R101</f>
        <v>0</v>
      </c>
      <c r="S101" s="111">
        <f t="shared" si="8"/>
        <v>0.99999999999999989</v>
      </c>
    </row>
    <row r="102" spans="1:19" hidden="1" outlineLevel="1" x14ac:dyDescent="0.2">
      <c r="A102" s="36"/>
      <c r="B102" s="66">
        <f>'Expenses Summary'!B58</f>
        <v>0</v>
      </c>
      <c r="C102" s="66">
        <f>'Expenses Summary'!C58</f>
        <v>0</v>
      </c>
      <c r="D102" s="112">
        <f>'Cash Flow %s Yr4'!D102</f>
        <v>0</v>
      </c>
      <c r="E102" s="112">
        <f>'Cash Flow %s Yr4'!E102</f>
        <v>0</v>
      </c>
      <c r="F102" s="112">
        <f>'Cash Flow %s Yr4'!F102</f>
        <v>0.1</v>
      </c>
      <c r="G102" s="112">
        <f>'Cash Flow %s Yr4'!G102</f>
        <v>0.1</v>
      </c>
      <c r="H102" s="112">
        <f>'Cash Flow %s Yr4'!H102</f>
        <v>0.1</v>
      </c>
      <c r="I102" s="112">
        <f>'Cash Flow %s Yr4'!I102</f>
        <v>0.1</v>
      </c>
      <c r="J102" s="112">
        <f>'Cash Flow %s Yr4'!J102</f>
        <v>0.1</v>
      </c>
      <c r="K102" s="112">
        <f>'Cash Flow %s Yr4'!K102</f>
        <v>0.1</v>
      </c>
      <c r="L102" s="112">
        <f>'Cash Flow %s Yr4'!L102</f>
        <v>0.1</v>
      </c>
      <c r="M102" s="112">
        <f>'Cash Flow %s Yr4'!M102</f>
        <v>0.1</v>
      </c>
      <c r="N102" s="112">
        <f>'Cash Flow %s Yr4'!N102</f>
        <v>0.1</v>
      </c>
      <c r="O102" s="112">
        <f>'Cash Flow %s Yr4'!O102</f>
        <v>0.1</v>
      </c>
      <c r="P102" s="112">
        <f>'Cash Flow %s Yr4'!P102</f>
        <v>0</v>
      </c>
      <c r="Q102" s="112">
        <f>'Cash Flow %s Yr4'!Q102</f>
        <v>0</v>
      </c>
      <c r="R102" s="112">
        <f>'Cash Flow %s Yr4'!R102</f>
        <v>0</v>
      </c>
      <c r="S102" s="111">
        <f t="shared" si="8"/>
        <v>0.99999999999999989</v>
      </c>
    </row>
    <row r="103" spans="1:19" hidden="1" outlineLevel="1" x14ac:dyDescent="0.2">
      <c r="A103" s="36"/>
      <c r="B103" s="66">
        <f>'Expenses Summary'!B59</f>
        <v>0</v>
      </c>
      <c r="C103" s="66">
        <f>'Expenses Summary'!C59</f>
        <v>0</v>
      </c>
      <c r="D103" s="112">
        <f>'Cash Flow %s Yr4'!D103</f>
        <v>0</v>
      </c>
      <c r="E103" s="112">
        <f>'Cash Flow %s Yr4'!E103</f>
        <v>0</v>
      </c>
      <c r="F103" s="112">
        <f>'Cash Flow %s Yr4'!F103</f>
        <v>0.1</v>
      </c>
      <c r="G103" s="112">
        <f>'Cash Flow %s Yr4'!G103</f>
        <v>0.1</v>
      </c>
      <c r="H103" s="112">
        <f>'Cash Flow %s Yr4'!H103</f>
        <v>0.1</v>
      </c>
      <c r="I103" s="112">
        <f>'Cash Flow %s Yr4'!I103</f>
        <v>0.1</v>
      </c>
      <c r="J103" s="112">
        <f>'Cash Flow %s Yr4'!J103</f>
        <v>0.1</v>
      </c>
      <c r="K103" s="112">
        <f>'Cash Flow %s Yr4'!K103</f>
        <v>0.1</v>
      </c>
      <c r="L103" s="112">
        <f>'Cash Flow %s Yr4'!L103</f>
        <v>0.1</v>
      </c>
      <c r="M103" s="112">
        <f>'Cash Flow %s Yr4'!M103</f>
        <v>0.1</v>
      </c>
      <c r="N103" s="112">
        <f>'Cash Flow %s Yr4'!N103</f>
        <v>0.1</v>
      </c>
      <c r="O103" s="112">
        <f>'Cash Flow %s Yr4'!O103</f>
        <v>0.1</v>
      </c>
      <c r="P103" s="112">
        <f>'Cash Flow %s Yr4'!P103</f>
        <v>0</v>
      </c>
      <c r="Q103" s="112">
        <f>'Cash Flow %s Yr4'!Q103</f>
        <v>0</v>
      </c>
      <c r="R103" s="112">
        <f>'Cash Flow %s Yr4'!R103</f>
        <v>0</v>
      </c>
      <c r="S103" s="111">
        <f t="shared" si="8"/>
        <v>0.99999999999999989</v>
      </c>
    </row>
    <row r="104" spans="1:19" hidden="1" outlineLevel="1" x14ac:dyDescent="0.2">
      <c r="A104" s="36"/>
      <c r="B104" s="66">
        <f>'Expenses Summary'!B60</f>
        <v>0</v>
      </c>
      <c r="C104" s="66">
        <f>'Expenses Summary'!C60</f>
        <v>0</v>
      </c>
      <c r="D104" s="112">
        <f>'Cash Flow %s Yr4'!D104</f>
        <v>0</v>
      </c>
      <c r="E104" s="112">
        <f>'Cash Flow %s Yr4'!E104</f>
        <v>0</v>
      </c>
      <c r="F104" s="112">
        <f>'Cash Flow %s Yr4'!F104</f>
        <v>0.1</v>
      </c>
      <c r="G104" s="112">
        <f>'Cash Flow %s Yr4'!G104</f>
        <v>0.1</v>
      </c>
      <c r="H104" s="112">
        <f>'Cash Flow %s Yr4'!H104</f>
        <v>0.1</v>
      </c>
      <c r="I104" s="112">
        <f>'Cash Flow %s Yr4'!I104</f>
        <v>0.1</v>
      </c>
      <c r="J104" s="112">
        <f>'Cash Flow %s Yr4'!J104</f>
        <v>0.1</v>
      </c>
      <c r="K104" s="112">
        <f>'Cash Flow %s Yr4'!K104</f>
        <v>0.1</v>
      </c>
      <c r="L104" s="112">
        <f>'Cash Flow %s Yr4'!L104</f>
        <v>0.1</v>
      </c>
      <c r="M104" s="112">
        <f>'Cash Flow %s Yr4'!M104</f>
        <v>0.1</v>
      </c>
      <c r="N104" s="112">
        <f>'Cash Flow %s Yr4'!N104</f>
        <v>0.1</v>
      </c>
      <c r="O104" s="112">
        <f>'Cash Flow %s Yr4'!O104</f>
        <v>0.1</v>
      </c>
      <c r="P104" s="112">
        <f>'Cash Flow %s Yr4'!P104</f>
        <v>0</v>
      </c>
      <c r="Q104" s="112">
        <f>'Cash Flow %s Yr4'!Q104</f>
        <v>0</v>
      </c>
      <c r="R104" s="112">
        <f>'Cash Flow %s Yr4'!R104</f>
        <v>0</v>
      </c>
      <c r="S104" s="111">
        <f t="shared" si="8"/>
        <v>0.99999999999999989</v>
      </c>
    </row>
    <row r="105" spans="1:19" hidden="1" outlineLevel="1" x14ac:dyDescent="0.2">
      <c r="A105" s="36"/>
      <c r="B105" s="66">
        <f>'Expenses Summary'!B61</f>
        <v>0</v>
      </c>
      <c r="C105" s="66">
        <f>'Expenses Summary'!C61</f>
        <v>0</v>
      </c>
      <c r="D105" s="112">
        <f>'Cash Flow %s Yr4'!D105</f>
        <v>0</v>
      </c>
      <c r="E105" s="112">
        <f>'Cash Flow %s Yr4'!E105</f>
        <v>0</v>
      </c>
      <c r="F105" s="112">
        <f>'Cash Flow %s Yr4'!F105</f>
        <v>0.1</v>
      </c>
      <c r="G105" s="112">
        <f>'Cash Flow %s Yr4'!G105</f>
        <v>0.1</v>
      </c>
      <c r="H105" s="112">
        <f>'Cash Flow %s Yr4'!H105</f>
        <v>0.1</v>
      </c>
      <c r="I105" s="112">
        <f>'Cash Flow %s Yr4'!I105</f>
        <v>0.1</v>
      </c>
      <c r="J105" s="112">
        <f>'Cash Flow %s Yr4'!J105</f>
        <v>0.1</v>
      </c>
      <c r="K105" s="112">
        <f>'Cash Flow %s Yr4'!K105</f>
        <v>0.1</v>
      </c>
      <c r="L105" s="112">
        <f>'Cash Flow %s Yr4'!L105</f>
        <v>0.1</v>
      </c>
      <c r="M105" s="112">
        <f>'Cash Flow %s Yr4'!M105</f>
        <v>0.1</v>
      </c>
      <c r="N105" s="112">
        <f>'Cash Flow %s Yr4'!N105</f>
        <v>0.1</v>
      </c>
      <c r="O105" s="112">
        <f>'Cash Flow %s Yr4'!O105</f>
        <v>0.1</v>
      </c>
      <c r="P105" s="112">
        <f>'Cash Flow %s Yr4'!P105</f>
        <v>0</v>
      </c>
      <c r="Q105" s="112">
        <f>'Cash Flow %s Yr4'!Q105</f>
        <v>0</v>
      </c>
      <c r="R105" s="112">
        <f>'Cash Flow %s Yr4'!R105</f>
        <v>0</v>
      </c>
      <c r="S105" s="111">
        <f t="shared" si="8"/>
        <v>0.99999999999999989</v>
      </c>
    </row>
    <row r="106" spans="1:19" hidden="1" outlineLevel="1" x14ac:dyDescent="0.2">
      <c r="A106" s="36"/>
      <c r="B106" s="66">
        <f>'Expenses Summary'!B62</f>
        <v>0</v>
      </c>
      <c r="C106" s="66">
        <f>'Expenses Summary'!C62</f>
        <v>0</v>
      </c>
      <c r="D106" s="112">
        <f>'Cash Flow %s Yr4'!D106</f>
        <v>0</v>
      </c>
      <c r="E106" s="112">
        <f>'Cash Flow %s Yr4'!E106</f>
        <v>0</v>
      </c>
      <c r="F106" s="112">
        <f>'Cash Flow %s Yr4'!F106</f>
        <v>0.1</v>
      </c>
      <c r="G106" s="112">
        <f>'Cash Flow %s Yr4'!G106</f>
        <v>0.1</v>
      </c>
      <c r="H106" s="112">
        <f>'Cash Flow %s Yr4'!H106</f>
        <v>0.1</v>
      </c>
      <c r="I106" s="112">
        <f>'Cash Flow %s Yr4'!I106</f>
        <v>0.1</v>
      </c>
      <c r="J106" s="112">
        <f>'Cash Flow %s Yr4'!J106</f>
        <v>0.1</v>
      </c>
      <c r="K106" s="112">
        <f>'Cash Flow %s Yr4'!K106</f>
        <v>0.1</v>
      </c>
      <c r="L106" s="112">
        <f>'Cash Flow %s Yr4'!L106</f>
        <v>0.1</v>
      </c>
      <c r="M106" s="112">
        <f>'Cash Flow %s Yr4'!M106</f>
        <v>0.1</v>
      </c>
      <c r="N106" s="112">
        <f>'Cash Flow %s Yr4'!N106</f>
        <v>0.1</v>
      </c>
      <c r="O106" s="112">
        <f>'Cash Flow %s Yr4'!O106</f>
        <v>0.1</v>
      </c>
      <c r="P106" s="112">
        <f>'Cash Flow %s Yr4'!P106</f>
        <v>0</v>
      </c>
      <c r="Q106" s="112">
        <f>'Cash Flow %s Yr4'!Q106</f>
        <v>0</v>
      </c>
      <c r="R106" s="112">
        <f>'Cash Flow %s Yr4'!R106</f>
        <v>0</v>
      </c>
      <c r="S106" s="111">
        <f t="shared" si="8"/>
        <v>0.99999999999999989</v>
      </c>
    </row>
    <row r="107" spans="1:19" s="31" customFormat="1" collapsed="1" x14ac:dyDescent="0.2">
      <c r="A107" s="36"/>
      <c r="B107" s="66" t="str">
        <f>'Expenses Summary'!B63</f>
        <v>4700</v>
      </c>
      <c r="C107" s="66" t="str">
        <f>'Expenses Summary'!C63</f>
        <v>Food and Food Supplies</v>
      </c>
      <c r="D107" s="112">
        <f>'Cash Flow %s Yr4'!D107</f>
        <v>0</v>
      </c>
      <c r="E107" s="112">
        <f>'Cash Flow %s Yr4'!E107</f>
        <v>0</v>
      </c>
      <c r="F107" s="112">
        <f>'Cash Flow %s Yr4'!F107</f>
        <v>5.5E-2</v>
      </c>
      <c r="G107" s="112">
        <f>'Cash Flow %s Yr4'!G107</f>
        <v>0</v>
      </c>
      <c r="H107" s="112">
        <f>'Cash Flow %s Yr4'!H107</f>
        <v>0.1</v>
      </c>
      <c r="I107" s="112">
        <f>'Cash Flow %s Yr4'!I107</f>
        <v>0.1</v>
      </c>
      <c r="J107" s="112">
        <f>'Cash Flow %s Yr4'!J107</f>
        <v>0.1</v>
      </c>
      <c r="K107" s="112">
        <f>'Cash Flow %s Yr4'!K107</f>
        <v>0.1</v>
      </c>
      <c r="L107" s="112">
        <f>'Cash Flow %s Yr4'!L107</f>
        <v>0.1</v>
      </c>
      <c r="M107" s="112">
        <f>'Cash Flow %s Yr4'!M107</f>
        <v>0.1</v>
      </c>
      <c r="N107" s="112">
        <f>'Cash Flow %s Yr4'!N107</f>
        <v>0.1</v>
      </c>
      <c r="O107" s="112">
        <f>'Cash Flow %s Yr4'!O107</f>
        <v>0.1</v>
      </c>
      <c r="P107" s="112">
        <f>'Cash Flow %s Yr4'!P107</f>
        <v>0.1</v>
      </c>
      <c r="Q107" s="112">
        <f>'Cash Flow %s Yr4'!Q107</f>
        <v>4.4999999999999998E-2</v>
      </c>
      <c r="R107" s="112">
        <f>'Cash Flow %s Yr4'!R107</f>
        <v>0</v>
      </c>
      <c r="S107" s="111">
        <f>SUM(D107:R107)</f>
        <v>0.99999999999999989</v>
      </c>
    </row>
    <row r="108" spans="1:19" s="31" customFormat="1" x14ac:dyDescent="0.2">
      <c r="A108" s="36"/>
      <c r="B108" s="124"/>
      <c r="C108" s="93"/>
      <c r="D108" s="100"/>
      <c r="E108" s="100"/>
      <c r="F108" s="119"/>
      <c r="G108" s="119"/>
      <c r="H108" s="119"/>
      <c r="I108" s="119"/>
      <c r="J108" s="119"/>
      <c r="K108" s="119"/>
      <c r="L108" s="119"/>
      <c r="M108" s="119"/>
      <c r="N108" s="119"/>
      <c r="O108" s="119"/>
      <c r="P108" s="108"/>
      <c r="Q108" s="108"/>
      <c r="R108" s="108"/>
      <c r="S108" s="111"/>
    </row>
    <row r="109" spans="1:19" s="31" customFormat="1" x14ac:dyDescent="0.2">
      <c r="A109" s="36"/>
      <c r="B109" s="4"/>
      <c r="C109" s="3"/>
      <c r="D109" s="95"/>
      <c r="E109" s="95"/>
      <c r="F109" s="95"/>
      <c r="G109" s="95"/>
      <c r="H109" s="95"/>
      <c r="I109" s="95"/>
      <c r="J109" s="95"/>
      <c r="K109" s="95"/>
      <c r="L109" s="95"/>
      <c r="M109" s="95"/>
      <c r="N109" s="95"/>
      <c r="O109" s="95"/>
      <c r="P109" s="95"/>
      <c r="Q109" s="95"/>
      <c r="R109" s="95"/>
      <c r="S109" s="111"/>
    </row>
    <row r="110" spans="1:19" s="31" customFormat="1" x14ac:dyDescent="0.2">
      <c r="B110" s="5" t="s">
        <v>722</v>
      </c>
      <c r="C110" s="3"/>
      <c r="D110" s="95"/>
      <c r="E110" s="95"/>
      <c r="F110" s="95"/>
      <c r="G110" s="95"/>
      <c r="H110" s="95"/>
      <c r="I110" s="95"/>
      <c r="J110" s="95"/>
      <c r="K110" s="95"/>
      <c r="L110" s="95"/>
      <c r="M110" s="95"/>
      <c r="N110" s="95"/>
      <c r="O110" s="95"/>
      <c r="P110" s="95"/>
      <c r="Q110" s="95"/>
      <c r="R110" s="95"/>
      <c r="S110" s="111"/>
    </row>
    <row r="111" spans="1:19" s="31" customFormat="1" x14ac:dyDescent="0.2">
      <c r="A111" s="36"/>
      <c r="B111" s="66" t="str">
        <f>'Expenses Summary'!B67</f>
        <v>5200</v>
      </c>
      <c r="C111" s="66" t="str">
        <f>'Expenses Summary'!C67</f>
        <v>Travel and Conferences</v>
      </c>
      <c r="D111" s="112">
        <f>'Cash Flow %s Yr4'!D111</f>
        <v>0</v>
      </c>
      <c r="E111" s="112">
        <f>'Cash Flow %s Yr4'!E111</f>
        <v>0</v>
      </c>
      <c r="F111" s="112">
        <f>'Cash Flow %s Yr4'!F111</f>
        <v>0.3</v>
      </c>
      <c r="G111" s="112">
        <f>'Cash Flow %s Yr4'!G111</f>
        <v>0.1</v>
      </c>
      <c r="H111" s="112">
        <f>'Cash Flow %s Yr4'!H111</f>
        <v>0.1</v>
      </c>
      <c r="I111" s="112">
        <f>'Cash Flow %s Yr4'!I111</f>
        <v>0.1</v>
      </c>
      <c r="J111" s="112">
        <f>'Cash Flow %s Yr4'!J111</f>
        <v>0.1</v>
      </c>
      <c r="K111" s="112">
        <f>'Cash Flow %s Yr4'!K111</f>
        <v>0.1</v>
      </c>
      <c r="L111" s="112">
        <f>'Cash Flow %s Yr4'!L111</f>
        <v>0.1</v>
      </c>
      <c r="M111" s="112">
        <f>'Cash Flow %s Yr4'!M111</f>
        <v>0.1</v>
      </c>
      <c r="N111" s="112">
        <f>'Cash Flow %s Yr4'!N111</f>
        <v>0</v>
      </c>
      <c r="O111" s="112">
        <f>'Cash Flow %s Yr4'!O111</f>
        <v>0</v>
      </c>
      <c r="P111" s="112">
        <f>'Cash Flow %s Yr4'!P111</f>
        <v>0</v>
      </c>
      <c r="Q111" s="112">
        <f>'Cash Flow %s Yr4'!Q111</f>
        <v>0</v>
      </c>
      <c r="R111" s="112">
        <f>'Cash Flow %s Yr4'!R111</f>
        <v>0</v>
      </c>
      <c r="S111" s="111">
        <f t="shared" ref="S111:S141" si="9">SUM(D111:R111)</f>
        <v>0.99999999999999989</v>
      </c>
    </row>
    <row r="112" spans="1:19" s="31" customFormat="1" x14ac:dyDescent="0.2">
      <c r="A112" s="36"/>
      <c r="B112" s="66" t="str">
        <f>'Expenses Summary'!B68</f>
        <v>5210</v>
      </c>
      <c r="C112" s="66" t="str">
        <f>'Expenses Summary'!C68</f>
        <v>Training and Development Expense</v>
      </c>
      <c r="D112" s="112">
        <f>'Cash Flow %s Yr4'!D112</f>
        <v>0</v>
      </c>
      <c r="E112" s="112">
        <f>'Cash Flow %s Yr4'!E112</f>
        <v>0</v>
      </c>
      <c r="F112" s="112">
        <f>'Cash Flow %s Yr4'!F112</f>
        <v>0.9</v>
      </c>
      <c r="G112" s="112">
        <f>'Cash Flow %s Yr4'!G112</f>
        <v>0</v>
      </c>
      <c r="H112" s="112">
        <f>'Cash Flow %s Yr4'!H112</f>
        <v>0</v>
      </c>
      <c r="I112" s="112">
        <f>'Cash Flow %s Yr4'!I112</f>
        <v>0</v>
      </c>
      <c r="J112" s="112">
        <f>'Cash Flow %s Yr4'!J112</f>
        <v>0</v>
      </c>
      <c r="K112" s="112">
        <f>'Cash Flow %s Yr4'!K112</f>
        <v>0</v>
      </c>
      <c r="L112" s="112">
        <f>'Cash Flow %s Yr4'!L112</f>
        <v>0.1</v>
      </c>
      <c r="M112" s="112">
        <f>'Cash Flow %s Yr4'!M112</f>
        <v>0</v>
      </c>
      <c r="N112" s="112">
        <f>'Cash Flow %s Yr4'!N112</f>
        <v>0</v>
      </c>
      <c r="O112" s="112">
        <f>'Cash Flow %s Yr4'!O112</f>
        <v>0</v>
      </c>
      <c r="P112" s="112">
        <f>'Cash Flow %s Yr4'!P112</f>
        <v>0</v>
      </c>
      <c r="Q112" s="112">
        <f>'Cash Flow %s Yr4'!Q112</f>
        <v>0</v>
      </c>
      <c r="R112" s="112">
        <f>'Cash Flow %s Yr4'!R112</f>
        <v>0</v>
      </c>
      <c r="S112" s="111">
        <f t="shared" si="9"/>
        <v>1</v>
      </c>
    </row>
    <row r="113" spans="1:19" s="31" customFormat="1" x14ac:dyDescent="0.2">
      <c r="A113" s="36"/>
      <c r="B113" s="66" t="str">
        <f>'Expenses Summary'!B69</f>
        <v>5300</v>
      </c>
      <c r="C113" s="66" t="str">
        <f>'Expenses Summary'!C69</f>
        <v>Dues and Memberships</v>
      </c>
      <c r="D113" s="112">
        <f>'Cash Flow %s Yr4'!D113</f>
        <v>0</v>
      </c>
      <c r="E113" s="112">
        <f>'Cash Flow %s Yr4'!E113</f>
        <v>0</v>
      </c>
      <c r="F113" s="112">
        <f>'Cash Flow %s Yr4'!F113</f>
        <v>0.3</v>
      </c>
      <c r="G113" s="112">
        <f>'Cash Flow %s Yr4'!G113</f>
        <v>0.1</v>
      </c>
      <c r="H113" s="112">
        <f>'Cash Flow %s Yr4'!H113</f>
        <v>0.1</v>
      </c>
      <c r="I113" s="112">
        <f>'Cash Flow %s Yr4'!I113</f>
        <v>0.1</v>
      </c>
      <c r="J113" s="112">
        <f>'Cash Flow %s Yr4'!J113</f>
        <v>0.1</v>
      </c>
      <c r="K113" s="112">
        <f>'Cash Flow %s Yr4'!K113</f>
        <v>0.1</v>
      </c>
      <c r="L113" s="112">
        <f>'Cash Flow %s Yr4'!L113</f>
        <v>0.1</v>
      </c>
      <c r="M113" s="112">
        <f>'Cash Flow %s Yr4'!M113</f>
        <v>0.1</v>
      </c>
      <c r="N113" s="112">
        <f>'Cash Flow %s Yr4'!N113</f>
        <v>0</v>
      </c>
      <c r="O113" s="112">
        <f>'Cash Flow %s Yr4'!O113</f>
        <v>0</v>
      </c>
      <c r="P113" s="112">
        <f>'Cash Flow %s Yr4'!P113</f>
        <v>0</v>
      </c>
      <c r="Q113" s="112">
        <f>'Cash Flow %s Yr4'!Q113</f>
        <v>0</v>
      </c>
      <c r="R113" s="112">
        <f>'Cash Flow %s Yr4'!R113</f>
        <v>0</v>
      </c>
      <c r="S113" s="111">
        <f t="shared" si="9"/>
        <v>0.99999999999999989</v>
      </c>
    </row>
    <row r="114" spans="1:19" s="31" customFormat="1" x14ac:dyDescent="0.2">
      <c r="A114" s="36"/>
      <c r="B114" s="66" t="str">
        <f>'Expenses Summary'!B70</f>
        <v>5400</v>
      </c>
      <c r="C114" s="66" t="str">
        <f>'Expenses Summary'!C70</f>
        <v>Insurance</v>
      </c>
      <c r="D114" s="112">
        <f>'Cash Flow %s Yr4'!D114</f>
        <v>0</v>
      </c>
      <c r="E114" s="112">
        <f>'Cash Flow %s Yr4'!E114</f>
        <v>0</v>
      </c>
      <c r="F114" s="112">
        <f>'Cash Flow %s Yr4'!F114</f>
        <v>0.3</v>
      </c>
      <c r="G114" s="112">
        <f>'Cash Flow %s Yr4'!G114</f>
        <v>0.1</v>
      </c>
      <c r="H114" s="112">
        <f>'Cash Flow %s Yr4'!H114</f>
        <v>0.1</v>
      </c>
      <c r="I114" s="112">
        <f>'Cash Flow %s Yr4'!I114</f>
        <v>0.1</v>
      </c>
      <c r="J114" s="112">
        <f>'Cash Flow %s Yr4'!J114</f>
        <v>0.1</v>
      </c>
      <c r="K114" s="112">
        <f>'Cash Flow %s Yr4'!K114</f>
        <v>0.1</v>
      </c>
      <c r="L114" s="112">
        <f>'Cash Flow %s Yr4'!L114</f>
        <v>0.1</v>
      </c>
      <c r="M114" s="112">
        <f>'Cash Flow %s Yr4'!M114</f>
        <v>0.1</v>
      </c>
      <c r="N114" s="112">
        <f>'Cash Flow %s Yr4'!N114</f>
        <v>0</v>
      </c>
      <c r="O114" s="112">
        <f>'Cash Flow %s Yr4'!O114</f>
        <v>0</v>
      </c>
      <c r="P114" s="112">
        <f>'Cash Flow %s Yr4'!P114</f>
        <v>0</v>
      </c>
      <c r="Q114" s="112">
        <f>'Cash Flow %s Yr4'!Q114</f>
        <v>0</v>
      </c>
      <c r="R114" s="112">
        <f>'Cash Flow %s Yr4'!R114</f>
        <v>0</v>
      </c>
      <c r="S114" s="111">
        <f t="shared" si="9"/>
        <v>0.99999999999999989</v>
      </c>
    </row>
    <row r="115" spans="1:19" s="31" customFormat="1" x14ac:dyDescent="0.2">
      <c r="A115" s="36"/>
      <c r="B115" s="66" t="e">
        <f>'Expenses Summary'!#REF!</f>
        <v>#REF!</v>
      </c>
      <c r="C115" s="66" t="e">
        <f>'Expenses Summary'!#REF!</f>
        <v>#REF!</v>
      </c>
      <c r="D115" s="112">
        <f>'Cash Flow %s Yr4'!D115</f>
        <v>0</v>
      </c>
      <c r="E115" s="112">
        <f>'Cash Flow %s Yr4'!E115</f>
        <v>0</v>
      </c>
      <c r="F115" s="112">
        <f>'Cash Flow %s Yr4'!F115</f>
        <v>0.6</v>
      </c>
      <c r="G115" s="112">
        <f>'Cash Flow %s Yr4'!G115</f>
        <v>0</v>
      </c>
      <c r="H115" s="112">
        <f>'Cash Flow %s Yr4'!H115</f>
        <v>0</v>
      </c>
      <c r="I115" s="112">
        <f>'Cash Flow %s Yr4'!I115</f>
        <v>0</v>
      </c>
      <c r="J115" s="112">
        <f>'Cash Flow %s Yr4'!J115</f>
        <v>0.4</v>
      </c>
      <c r="K115" s="112">
        <f>'Cash Flow %s Yr4'!K115</f>
        <v>0</v>
      </c>
      <c r="L115" s="112">
        <f>'Cash Flow %s Yr4'!L115</f>
        <v>0</v>
      </c>
      <c r="M115" s="112">
        <f>'Cash Flow %s Yr4'!M115</f>
        <v>0</v>
      </c>
      <c r="N115" s="112">
        <f>'Cash Flow %s Yr4'!N115</f>
        <v>0</v>
      </c>
      <c r="O115" s="112">
        <f>'Cash Flow %s Yr4'!O115</f>
        <v>0</v>
      </c>
      <c r="P115" s="112">
        <f>'Cash Flow %s Yr4'!P115</f>
        <v>0</v>
      </c>
      <c r="Q115" s="112">
        <f>'Cash Flow %s Yr4'!Q115</f>
        <v>0</v>
      </c>
      <c r="R115" s="112">
        <f>'Cash Flow %s Yr4'!R115</f>
        <v>0</v>
      </c>
      <c r="S115" s="111">
        <f t="shared" si="9"/>
        <v>1</v>
      </c>
    </row>
    <row r="116" spans="1:19" s="31" customFormat="1" x14ac:dyDescent="0.2">
      <c r="A116" s="36"/>
      <c r="B116" s="66" t="str">
        <f>'Expenses Summary'!B71</f>
        <v>5500</v>
      </c>
      <c r="C116" s="66" t="str">
        <f>'Expenses Summary'!C71</f>
        <v>Operation and Housekeeping Services/Supplies</v>
      </c>
      <c r="D116" s="112">
        <f>'Cash Flow %s Yr4'!D116</f>
        <v>8.3000000000000004E-2</v>
      </c>
      <c r="E116" s="112">
        <f>'Cash Flow %s Yr4'!E116</f>
        <v>8.3000000000000004E-2</v>
      </c>
      <c r="F116" s="112">
        <f>'Cash Flow %s Yr4'!F116</f>
        <v>8.3000000000000004E-2</v>
      </c>
      <c r="G116" s="112">
        <f>'Cash Flow %s Yr4'!G116</f>
        <v>8.3000000000000004E-2</v>
      </c>
      <c r="H116" s="112">
        <f>'Cash Flow %s Yr4'!H116</f>
        <v>8.3000000000000004E-2</v>
      </c>
      <c r="I116" s="112">
        <f>'Cash Flow %s Yr4'!I116</f>
        <v>8.3000000000000004E-2</v>
      </c>
      <c r="J116" s="112">
        <f>'Cash Flow %s Yr4'!J116</f>
        <v>8.3000000000000004E-2</v>
      </c>
      <c r="K116" s="112">
        <f>'Cash Flow %s Yr4'!K116</f>
        <v>8.3000000000000004E-2</v>
      </c>
      <c r="L116" s="112">
        <f>'Cash Flow %s Yr4'!L116</f>
        <v>8.4000000000000005E-2</v>
      </c>
      <c r="M116" s="112">
        <f>'Cash Flow %s Yr4'!M116</f>
        <v>8.4000000000000005E-2</v>
      </c>
      <c r="N116" s="112">
        <f>'Cash Flow %s Yr4'!N116</f>
        <v>8.4000000000000005E-2</v>
      </c>
      <c r="O116" s="112">
        <f>'Cash Flow %s Yr4'!O116</f>
        <v>8.4000000000000005E-2</v>
      </c>
      <c r="P116" s="112">
        <f>'Cash Flow %s Yr4'!P116</f>
        <v>0</v>
      </c>
      <c r="Q116" s="112">
        <f>'Cash Flow %s Yr4'!Q116</f>
        <v>0</v>
      </c>
      <c r="R116" s="112">
        <f>'Cash Flow %s Yr4'!R116</f>
        <v>0</v>
      </c>
      <c r="S116" s="111">
        <f t="shared" si="9"/>
        <v>0.99999999999999989</v>
      </c>
    </row>
    <row r="117" spans="1:19" s="31" customFormat="1" x14ac:dyDescent="0.2">
      <c r="A117" s="36"/>
      <c r="B117" s="66" t="str">
        <f>'Expenses Summary'!B72</f>
        <v>5501</v>
      </c>
      <c r="C117" s="66" t="str">
        <f>'Expenses Summary'!C72</f>
        <v>Utilities</v>
      </c>
      <c r="D117" s="112">
        <f>'Cash Flow %s Yr4'!D117</f>
        <v>0</v>
      </c>
      <c r="E117" s="112">
        <f>'Cash Flow %s Yr4'!E117</f>
        <v>0</v>
      </c>
      <c r="F117" s="112">
        <f>'Cash Flow %s Yr4'!F117</f>
        <v>0.1</v>
      </c>
      <c r="G117" s="112">
        <f>'Cash Flow %s Yr4'!G117</f>
        <v>0.1</v>
      </c>
      <c r="H117" s="112">
        <f>'Cash Flow %s Yr4'!H117</f>
        <v>0.1</v>
      </c>
      <c r="I117" s="112">
        <f>'Cash Flow %s Yr4'!I117</f>
        <v>0.1</v>
      </c>
      <c r="J117" s="112">
        <f>'Cash Flow %s Yr4'!J117</f>
        <v>0.1</v>
      </c>
      <c r="K117" s="112">
        <f>'Cash Flow %s Yr4'!K117</f>
        <v>0.1</v>
      </c>
      <c r="L117" s="112">
        <f>'Cash Flow %s Yr4'!L117</f>
        <v>0.1</v>
      </c>
      <c r="M117" s="112">
        <f>'Cash Flow %s Yr4'!M117</f>
        <v>0.1</v>
      </c>
      <c r="N117" s="112">
        <f>'Cash Flow %s Yr4'!N117</f>
        <v>0.1</v>
      </c>
      <c r="O117" s="112">
        <f>'Cash Flow %s Yr4'!O117</f>
        <v>0.1</v>
      </c>
      <c r="P117" s="112">
        <f>'Cash Flow %s Yr4'!P117</f>
        <v>0</v>
      </c>
      <c r="Q117" s="112">
        <f>'Cash Flow %s Yr4'!Q117</f>
        <v>0</v>
      </c>
      <c r="R117" s="112">
        <f>'Cash Flow %s Yr4'!R117</f>
        <v>0</v>
      </c>
      <c r="S117" s="111">
        <f t="shared" si="9"/>
        <v>0.99999999999999989</v>
      </c>
    </row>
    <row r="118" spans="1:19" s="31" customFormat="1" x14ac:dyDescent="0.2">
      <c r="A118" s="36"/>
      <c r="B118" s="66" t="str">
        <f>'Expenses Summary'!B73</f>
        <v>5505</v>
      </c>
      <c r="C118" s="66" t="str">
        <f>'Expenses Summary'!C73</f>
        <v>Student Transportation / Field Trips</v>
      </c>
      <c r="D118" s="112">
        <f>'Cash Flow %s Yr4'!D118</f>
        <v>8.3000000000000004E-2</v>
      </c>
      <c r="E118" s="112">
        <f>'Cash Flow %s Yr4'!E118</f>
        <v>0.16700000000000001</v>
      </c>
      <c r="F118" s="112">
        <f>'Cash Flow %s Yr4'!F118</f>
        <v>8.3000000000000004E-2</v>
      </c>
      <c r="G118" s="112">
        <f>'Cash Flow %s Yr4'!G118</f>
        <v>8.3000000000000004E-2</v>
      </c>
      <c r="H118" s="112">
        <f>'Cash Flow %s Yr4'!H118</f>
        <v>8.3000000000000004E-2</v>
      </c>
      <c r="I118" s="112">
        <f>'Cash Flow %s Yr4'!I118</f>
        <v>8.3000000000000004E-2</v>
      </c>
      <c r="J118" s="112">
        <f>'Cash Flow %s Yr4'!J118</f>
        <v>8.3000000000000004E-2</v>
      </c>
      <c r="K118" s="112">
        <f>'Cash Flow %s Yr4'!K118</f>
        <v>8.3000000000000004E-2</v>
      </c>
      <c r="L118" s="112">
        <f>'Cash Flow %s Yr4'!L118</f>
        <v>8.4000000000000005E-2</v>
      </c>
      <c r="M118" s="112">
        <f>'Cash Flow %s Yr4'!M118</f>
        <v>8.4000000000000005E-2</v>
      </c>
      <c r="N118" s="112">
        <f>'Cash Flow %s Yr4'!N118</f>
        <v>8.4000000000000005E-2</v>
      </c>
      <c r="O118" s="112">
        <f>'Cash Flow %s Yr4'!O118</f>
        <v>0</v>
      </c>
      <c r="P118" s="112">
        <f>'Cash Flow %s Yr4'!P118</f>
        <v>0</v>
      </c>
      <c r="Q118" s="112">
        <f>'Cash Flow %s Yr4'!Q118</f>
        <v>0</v>
      </c>
      <c r="R118" s="112">
        <f>'Cash Flow %s Yr4'!R118</f>
        <v>0</v>
      </c>
      <c r="S118" s="111">
        <f t="shared" si="9"/>
        <v>0.99999999999999989</v>
      </c>
    </row>
    <row r="119" spans="1:19" s="31" customFormat="1" x14ac:dyDescent="0.2">
      <c r="A119" s="36"/>
      <c r="B119" s="66" t="str">
        <f>'Expenses Summary'!B74</f>
        <v>5600</v>
      </c>
      <c r="C119" s="66" t="str">
        <f>'Expenses Summary'!C74</f>
        <v>Space Rental/Leases Expense</v>
      </c>
      <c r="D119" s="112">
        <f>'Cash Flow %s Yr4'!D119</f>
        <v>0.05</v>
      </c>
      <c r="E119" s="112">
        <f>'Cash Flow %s Yr4'!E119</f>
        <v>0.05</v>
      </c>
      <c r="F119" s="112">
        <f>'Cash Flow %s Yr4'!F119</f>
        <v>0.09</v>
      </c>
      <c r="G119" s="112">
        <f>'Cash Flow %s Yr4'!G119</f>
        <v>0.09</v>
      </c>
      <c r="H119" s="112">
        <f>'Cash Flow %s Yr4'!H119</f>
        <v>0.09</v>
      </c>
      <c r="I119" s="112">
        <f>'Cash Flow %s Yr4'!I119</f>
        <v>0.09</v>
      </c>
      <c r="J119" s="112">
        <f>'Cash Flow %s Yr4'!J119</f>
        <v>0.09</v>
      </c>
      <c r="K119" s="112">
        <f>'Cash Flow %s Yr4'!K119</f>
        <v>0.09</v>
      </c>
      <c r="L119" s="112">
        <f>'Cash Flow %s Yr4'!L119</f>
        <v>0.09</v>
      </c>
      <c r="M119" s="112">
        <f>'Cash Flow %s Yr4'!M119</f>
        <v>0.09</v>
      </c>
      <c r="N119" s="112">
        <f>'Cash Flow %s Yr4'!N119</f>
        <v>0.09</v>
      </c>
      <c r="O119" s="112">
        <f>'Cash Flow %s Yr4'!O119</f>
        <v>0.09</v>
      </c>
      <c r="P119" s="112">
        <f>'Cash Flow %s Yr4'!P119</f>
        <v>0</v>
      </c>
      <c r="Q119" s="112">
        <f>'Cash Flow %s Yr4'!Q119</f>
        <v>0</v>
      </c>
      <c r="R119" s="112">
        <f>'Cash Flow %s Yr4'!R119</f>
        <v>0</v>
      </c>
      <c r="S119" s="111">
        <f t="shared" si="9"/>
        <v>0.99999999999999978</v>
      </c>
    </row>
    <row r="120" spans="1:19" s="31" customFormat="1" x14ac:dyDescent="0.2">
      <c r="A120" s="36"/>
      <c r="B120" s="66" t="str">
        <f>'Expenses Summary'!B75</f>
        <v>5601</v>
      </c>
      <c r="C120" s="66" t="str">
        <f>'Expenses Summary'!C75</f>
        <v>Building Maintenance</v>
      </c>
      <c r="D120" s="112">
        <f>'Cash Flow %s Yr4'!D120</f>
        <v>8.3000000000000004E-2</v>
      </c>
      <c r="E120" s="112">
        <f>'Cash Flow %s Yr4'!E120</f>
        <v>8.3000000000000004E-2</v>
      </c>
      <c r="F120" s="112">
        <f>'Cash Flow %s Yr4'!F120</f>
        <v>8.3000000000000004E-2</v>
      </c>
      <c r="G120" s="112">
        <f>'Cash Flow %s Yr4'!G120</f>
        <v>8.3000000000000004E-2</v>
      </c>
      <c r="H120" s="112">
        <f>'Cash Flow %s Yr4'!H120</f>
        <v>8.3000000000000004E-2</v>
      </c>
      <c r="I120" s="112">
        <f>'Cash Flow %s Yr4'!I120</f>
        <v>8.3000000000000004E-2</v>
      </c>
      <c r="J120" s="112">
        <f>'Cash Flow %s Yr4'!J120</f>
        <v>8.3000000000000004E-2</v>
      </c>
      <c r="K120" s="112">
        <f>'Cash Flow %s Yr4'!K120</f>
        <v>8.3000000000000004E-2</v>
      </c>
      <c r="L120" s="112">
        <f>'Cash Flow %s Yr4'!L120</f>
        <v>8.4000000000000005E-2</v>
      </c>
      <c r="M120" s="112">
        <f>'Cash Flow %s Yr4'!M120</f>
        <v>8.4000000000000005E-2</v>
      </c>
      <c r="N120" s="112">
        <f>'Cash Flow %s Yr4'!N120</f>
        <v>8.4000000000000005E-2</v>
      </c>
      <c r="O120" s="112">
        <f>'Cash Flow %s Yr4'!O120</f>
        <v>8.4000000000000005E-2</v>
      </c>
      <c r="P120" s="112">
        <f>'Cash Flow %s Yr4'!P120</f>
        <v>0</v>
      </c>
      <c r="Q120" s="112">
        <f>'Cash Flow %s Yr4'!Q120</f>
        <v>0</v>
      </c>
      <c r="R120" s="112">
        <f>'Cash Flow %s Yr4'!R120</f>
        <v>0</v>
      </c>
      <c r="S120" s="111">
        <f t="shared" si="9"/>
        <v>0.99999999999999989</v>
      </c>
    </row>
    <row r="121" spans="1:19" s="31" customFormat="1" x14ac:dyDescent="0.2">
      <c r="A121" s="36"/>
      <c r="B121" s="66" t="str">
        <f>'Expenses Summary'!B76</f>
        <v>5602</v>
      </c>
      <c r="C121" s="66" t="str">
        <f>'Expenses Summary'!C76</f>
        <v>Other Space Rental</v>
      </c>
      <c r="D121" s="112">
        <f>'Cash Flow %s Yr4'!D121</f>
        <v>8.3000000000000004E-2</v>
      </c>
      <c r="E121" s="112">
        <f>'Cash Flow %s Yr4'!E121</f>
        <v>8.3000000000000004E-2</v>
      </c>
      <c r="F121" s="112">
        <f>'Cash Flow %s Yr4'!F121</f>
        <v>8.3000000000000004E-2</v>
      </c>
      <c r="G121" s="112">
        <f>'Cash Flow %s Yr4'!G121</f>
        <v>8.3000000000000004E-2</v>
      </c>
      <c r="H121" s="112">
        <f>'Cash Flow %s Yr4'!H121</f>
        <v>8.3000000000000004E-2</v>
      </c>
      <c r="I121" s="112">
        <f>'Cash Flow %s Yr4'!I121</f>
        <v>8.3000000000000004E-2</v>
      </c>
      <c r="J121" s="112">
        <f>'Cash Flow %s Yr4'!J121</f>
        <v>8.3000000000000004E-2</v>
      </c>
      <c r="K121" s="112">
        <f>'Cash Flow %s Yr4'!K121</f>
        <v>8.3000000000000004E-2</v>
      </c>
      <c r="L121" s="112">
        <f>'Cash Flow %s Yr4'!L121</f>
        <v>8.4000000000000005E-2</v>
      </c>
      <c r="M121" s="112">
        <f>'Cash Flow %s Yr4'!M121</f>
        <v>8.4000000000000005E-2</v>
      </c>
      <c r="N121" s="112">
        <f>'Cash Flow %s Yr4'!N121</f>
        <v>8.4000000000000005E-2</v>
      </c>
      <c r="O121" s="112">
        <f>'Cash Flow %s Yr4'!O121</f>
        <v>8.4000000000000005E-2</v>
      </c>
      <c r="P121" s="112">
        <f>'Cash Flow %s Yr4'!P121</f>
        <v>0</v>
      </c>
      <c r="Q121" s="112">
        <f>'Cash Flow %s Yr4'!Q121</f>
        <v>0</v>
      </c>
      <c r="R121" s="112">
        <f>'Cash Flow %s Yr4'!R121</f>
        <v>0</v>
      </c>
      <c r="S121" s="111">
        <f t="shared" si="9"/>
        <v>0.99999999999999989</v>
      </c>
    </row>
    <row r="122" spans="1:19" s="31" customFormat="1" x14ac:dyDescent="0.2">
      <c r="A122" s="36"/>
      <c r="B122" s="66" t="str">
        <f>'Expenses Summary'!B77</f>
        <v>5605</v>
      </c>
      <c r="C122" s="66" t="str">
        <f>'Expenses Summary'!C77</f>
        <v>Equipment Rental/Lease Expense</v>
      </c>
      <c r="D122" s="112">
        <f>'Cash Flow %s Yr4'!D122</f>
        <v>0</v>
      </c>
      <c r="E122" s="112">
        <f>'Cash Flow %s Yr4'!E122</f>
        <v>0</v>
      </c>
      <c r="F122" s="112">
        <f>'Cash Flow %s Yr4'!F122</f>
        <v>0.1</v>
      </c>
      <c r="G122" s="112">
        <f>'Cash Flow %s Yr4'!G122</f>
        <v>0.1</v>
      </c>
      <c r="H122" s="112">
        <f>'Cash Flow %s Yr4'!H122</f>
        <v>0.1</v>
      </c>
      <c r="I122" s="112">
        <f>'Cash Flow %s Yr4'!I122</f>
        <v>0.1</v>
      </c>
      <c r="J122" s="112">
        <f>'Cash Flow %s Yr4'!J122</f>
        <v>0.1</v>
      </c>
      <c r="K122" s="112">
        <f>'Cash Flow %s Yr4'!K122</f>
        <v>0.1</v>
      </c>
      <c r="L122" s="112">
        <f>'Cash Flow %s Yr4'!L122</f>
        <v>0.1</v>
      </c>
      <c r="M122" s="112">
        <f>'Cash Flow %s Yr4'!M122</f>
        <v>0.1</v>
      </c>
      <c r="N122" s="112">
        <f>'Cash Flow %s Yr4'!N122</f>
        <v>0.1</v>
      </c>
      <c r="O122" s="112">
        <f>'Cash Flow %s Yr4'!O122</f>
        <v>0.1</v>
      </c>
      <c r="P122" s="112">
        <f>'Cash Flow %s Yr4'!P122</f>
        <v>0</v>
      </c>
      <c r="Q122" s="112">
        <f>'Cash Flow %s Yr4'!Q122</f>
        <v>0</v>
      </c>
      <c r="R122" s="112">
        <f>'Cash Flow %s Yr4'!R122</f>
        <v>0</v>
      </c>
      <c r="S122" s="111">
        <f t="shared" si="9"/>
        <v>0.99999999999999989</v>
      </c>
    </row>
    <row r="123" spans="1:19" s="31" customFormat="1" x14ac:dyDescent="0.2">
      <c r="A123" s="36"/>
      <c r="B123" s="66" t="str">
        <f>'Expenses Summary'!B78</f>
        <v>5610</v>
      </c>
      <c r="C123" s="66" t="str">
        <f>'Expenses Summary'!C78</f>
        <v>Equipment Repair</v>
      </c>
      <c r="D123" s="112">
        <f>'Cash Flow %s Yr4'!D123</f>
        <v>8.3000000000000004E-2</v>
      </c>
      <c r="E123" s="112">
        <f>'Cash Flow %s Yr4'!E123</f>
        <v>8.3000000000000004E-2</v>
      </c>
      <c r="F123" s="112">
        <f>'Cash Flow %s Yr4'!F123</f>
        <v>8.3000000000000004E-2</v>
      </c>
      <c r="G123" s="112">
        <f>'Cash Flow %s Yr4'!G123</f>
        <v>8.3000000000000004E-2</v>
      </c>
      <c r="H123" s="112">
        <f>'Cash Flow %s Yr4'!H123</f>
        <v>8.3000000000000004E-2</v>
      </c>
      <c r="I123" s="112">
        <f>'Cash Flow %s Yr4'!I123</f>
        <v>8.3000000000000004E-2</v>
      </c>
      <c r="J123" s="112">
        <f>'Cash Flow %s Yr4'!J123</f>
        <v>8.3000000000000004E-2</v>
      </c>
      <c r="K123" s="112">
        <f>'Cash Flow %s Yr4'!K123</f>
        <v>8.3000000000000004E-2</v>
      </c>
      <c r="L123" s="112">
        <f>'Cash Flow %s Yr4'!L123</f>
        <v>8.4000000000000005E-2</v>
      </c>
      <c r="M123" s="112">
        <f>'Cash Flow %s Yr4'!M123</f>
        <v>8.4000000000000005E-2</v>
      </c>
      <c r="N123" s="112">
        <f>'Cash Flow %s Yr4'!N123</f>
        <v>8.4000000000000005E-2</v>
      </c>
      <c r="O123" s="112">
        <f>'Cash Flow %s Yr4'!O123</f>
        <v>8.4000000000000005E-2</v>
      </c>
      <c r="P123" s="112">
        <f>'Cash Flow %s Yr4'!P123</f>
        <v>0</v>
      </c>
      <c r="Q123" s="112">
        <f>'Cash Flow %s Yr4'!Q123</f>
        <v>0</v>
      </c>
      <c r="R123" s="112">
        <f>'Cash Flow %s Yr4'!R123</f>
        <v>0</v>
      </c>
      <c r="S123" s="111">
        <f t="shared" si="9"/>
        <v>0.99999999999999989</v>
      </c>
    </row>
    <row r="124" spans="1:19" s="31" customFormat="1" x14ac:dyDescent="0.2">
      <c r="A124" s="36"/>
      <c r="B124" s="66" t="str">
        <f>'Expenses Summary'!B79</f>
        <v>5800</v>
      </c>
      <c r="C124" s="66" t="str">
        <f>'Expenses Summary'!C79</f>
        <v>Professional/Consulting Services and Operating Expenditures</v>
      </c>
      <c r="D124" s="112">
        <f>'Cash Flow %s Yr4'!D124</f>
        <v>0.05</v>
      </c>
      <c r="E124" s="112">
        <f>'Cash Flow %s Yr4'!E124</f>
        <v>0.05</v>
      </c>
      <c r="F124" s="112">
        <f>'Cash Flow %s Yr4'!F124</f>
        <v>0.09</v>
      </c>
      <c r="G124" s="112">
        <f>'Cash Flow %s Yr4'!G124</f>
        <v>0.09</v>
      </c>
      <c r="H124" s="112">
        <f>'Cash Flow %s Yr4'!H124</f>
        <v>0.09</v>
      </c>
      <c r="I124" s="112">
        <f>'Cash Flow %s Yr4'!I124</f>
        <v>0.09</v>
      </c>
      <c r="J124" s="112">
        <f>'Cash Flow %s Yr4'!J124</f>
        <v>0.09</v>
      </c>
      <c r="K124" s="112">
        <f>'Cash Flow %s Yr4'!K124</f>
        <v>0.09</v>
      </c>
      <c r="L124" s="112">
        <f>'Cash Flow %s Yr4'!L124</f>
        <v>0.09</v>
      </c>
      <c r="M124" s="112">
        <f>'Cash Flow %s Yr4'!M124</f>
        <v>0.09</v>
      </c>
      <c r="N124" s="112">
        <f>'Cash Flow %s Yr4'!N124</f>
        <v>0.09</v>
      </c>
      <c r="O124" s="112">
        <f>'Cash Flow %s Yr4'!O124</f>
        <v>0.09</v>
      </c>
      <c r="P124" s="112">
        <f>'Cash Flow %s Yr4'!P124</f>
        <v>0</v>
      </c>
      <c r="Q124" s="112">
        <f>'Cash Flow %s Yr4'!Q124</f>
        <v>0</v>
      </c>
      <c r="R124" s="112">
        <f>'Cash Flow %s Yr4'!R124</f>
        <v>0</v>
      </c>
      <c r="S124" s="111">
        <f t="shared" si="9"/>
        <v>0.99999999999999978</v>
      </c>
    </row>
    <row r="125" spans="1:19" s="31" customFormat="1" x14ac:dyDescent="0.2">
      <c r="A125" s="36"/>
      <c r="B125" s="66" t="str">
        <f>'Expenses Summary'!B80</f>
        <v>5803</v>
      </c>
      <c r="C125" s="66" t="str">
        <f>'Expenses Summary'!C80</f>
        <v>Banking and Payroll Service Fees</v>
      </c>
      <c r="D125" s="112">
        <f>'Cash Flow %s Yr4'!D125</f>
        <v>0.05</v>
      </c>
      <c r="E125" s="112">
        <f>'Cash Flow %s Yr4'!E125</f>
        <v>0.05</v>
      </c>
      <c r="F125" s="112">
        <f>'Cash Flow %s Yr4'!F125</f>
        <v>0.09</v>
      </c>
      <c r="G125" s="112">
        <f>'Cash Flow %s Yr4'!G125</f>
        <v>0.09</v>
      </c>
      <c r="H125" s="112">
        <f>'Cash Flow %s Yr4'!H125</f>
        <v>0.09</v>
      </c>
      <c r="I125" s="112">
        <f>'Cash Flow %s Yr4'!I125</f>
        <v>0.09</v>
      </c>
      <c r="J125" s="112">
        <f>'Cash Flow %s Yr4'!J125</f>
        <v>0.09</v>
      </c>
      <c r="K125" s="112">
        <f>'Cash Flow %s Yr4'!K125</f>
        <v>0.09</v>
      </c>
      <c r="L125" s="112">
        <f>'Cash Flow %s Yr4'!L125</f>
        <v>0.09</v>
      </c>
      <c r="M125" s="112">
        <f>'Cash Flow %s Yr4'!M125</f>
        <v>0.09</v>
      </c>
      <c r="N125" s="112">
        <f>'Cash Flow %s Yr4'!N125</f>
        <v>0.09</v>
      </c>
      <c r="O125" s="112">
        <f>'Cash Flow %s Yr4'!O125</f>
        <v>0.09</v>
      </c>
      <c r="P125" s="112">
        <f>'Cash Flow %s Yr4'!P125</f>
        <v>0</v>
      </c>
      <c r="Q125" s="112">
        <f>'Cash Flow %s Yr4'!Q125</f>
        <v>0</v>
      </c>
      <c r="R125" s="112">
        <f>'Cash Flow %s Yr4'!R125</f>
        <v>0</v>
      </c>
      <c r="S125" s="111">
        <f t="shared" si="9"/>
        <v>0.99999999999999978</v>
      </c>
    </row>
    <row r="126" spans="1:19" s="31" customFormat="1" x14ac:dyDescent="0.2">
      <c r="A126" s="36"/>
      <c r="B126" s="66" t="str">
        <f>'Expenses Summary'!B81</f>
        <v>5805</v>
      </c>
      <c r="C126" s="66" t="str">
        <f>'Expenses Summary'!C81</f>
        <v>Legal Services and Audit</v>
      </c>
      <c r="D126" s="112">
        <f>'Cash Flow %s Yr4'!D126</f>
        <v>0</v>
      </c>
      <c r="E126" s="112">
        <f>'Cash Flow %s Yr4'!E126</f>
        <v>0</v>
      </c>
      <c r="F126" s="112">
        <f>'Cash Flow %s Yr4'!F126</f>
        <v>0</v>
      </c>
      <c r="G126" s="112">
        <f>'Cash Flow %s Yr4'!G126</f>
        <v>0</v>
      </c>
      <c r="H126" s="112">
        <f>'Cash Flow %s Yr4'!H126</f>
        <v>0.125</v>
      </c>
      <c r="I126" s="112">
        <f>'Cash Flow %s Yr4'!I126</f>
        <v>0.125</v>
      </c>
      <c r="J126" s="112">
        <f>'Cash Flow %s Yr4'!J126</f>
        <v>0.125</v>
      </c>
      <c r="K126" s="112">
        <f>'Cash Flow %s Yr4'!K126</f>
        <v>0.125</v>
      </c>
      <c r="L126" s="112">
        <f>'Cash Flow %s Yr4'!L126</f>
        <v>0.125</v>
      </c>
      <c r="M126" s="112">
        <f>'Cash Flow %s Yr4'!M126</f>
        <v>0.125</v>
      </c>
      <c r="N126" s="112">
        <f>'Cash Flow %s Yr4'!N126</f>
        <v>0.125</v>
      </c>
      <c r="O126" s="112">
        <f>'Cash Flow %s Yr4'!O126</f>
        <v>0.125</v>
      </c>
      <c r="P126" s="112">
        <f>'Cash Flow %s Yr4'!P126</f>
        <v>0</v>
      </c>
      <c r="Q126" s="112">
        <f>'Cash Flow %s Yr4'!Q126</f>
        <v>0</v>
      </c>
      <c r="R126" s="112">
        <f>'Cash Flow %s Yr4'!R126</f>
        <v>0</v>
      </c>
      <c r="S126" s="111">
        <f t="shared" si="9"/>
        <v>1</v>
      </c>
    </row>
    <row r="127" spans="1:19" s="31" customFormat="1" x14ac:dyDescent="0.2">
      <c r="A127" s="36"/>
      <c r="B127" s="66" t="str">
        <f>'Expenses Summary'!B82</f>
        <v>5810</v>
      </c>
      <c r="C127" s="66" t="str">
        <f>'Expenses Summary'!C82</f>
        <v>Educational Consultants</v>
      </c>
      <c r="D127" s="112">
        <f>'Cash Flow %s Yr4'!D127</f>
        <v>0.05</v>
      </c>
      <c r="E127" s="112">
        <f>'Cash Flow %s Yr4'!E127</f>
        <v>0.05</v>
      </c>
      <c r="F127" s="112">
        <f>'Cash Flow %s Yr4'!F127</f>
        <v>0.09</v>
      </c>
      <c r="G127" s="112">
        <f>'Cash Flow %s Yr4'!G127</f>
        <v>0.09</v>
      </c>
      <c r="H127" s="112">
        <f>'Cash Flow %s Yr4'!H127</f>
        <v>0.09</v>
      </c>
      <c r="I127" s="112">
        <f>'Cash Flow %s Yr4'!I127</f>
        <v>0.09</v>
      </c>
      <c r="J127" s="112">
        <f>'Cash Flow %s Yr4'!J127</f>
        <v>0.09</v>
      </c>
      <c r="K127" s="112">
        <f>'Cash Flow %s Yr4'!K127</f>
        <v>0.09</v>
      </c>
      <c r="L127" s="112">
        <f>'Cash Flow %s Yr4'!L127</f>
        <v>0.09</v>
      </c>
      <c r="M127" s="112">
        <f>'Cash Flow %s Yr4'!M127</f>
        <v>0.09</v>
      </c>
      <c r="N127" s="112">
        <f>'Cash Flow %s Yr4'!N127</f>
        <v>0.09</v>
      </c>
      <c r="O127" s="112">
        <f>'Cash Flow %s Yr4'!O127</f>
        <v>0.09</v>
      </c>
      <c r="P127" s="112">
        <f>'Cash Flow %s Yr4'!P127</f>
        <v>0</v>
      </c>
      <c r="Q127" s="112">
        <f>'Cash Flow %s Yr4'!Q127</f>
        <v>0</v>
      </c>
      <c r="R127" s="112">
        <f>'Cash Flow %s Yr4'!R127</f>
        <v>0</v>
      </c>
      <c r="S127" s="111">
        <f t="shared" si="9"/>
        <v>0.99999999999999978</v>
      </c>
    </row>
    <row r="128" spans="1:19" s="31" customFormat="1" x14ac:dyDescent="0.2">
      <c r="A128" s="36"/>
      <c r="B128" s="66" t="str">
        <f>'Expenses Summary'!B83</f>
        <v>5815</v>
      </c>
      <c r="C128" s="66" t="str">
        <f>'Expenses Summary'!C83</f>
        <v>Advertising / Recruiting</v>
      </c>
      <c r="D128" s="112">
        <f>'Cash Flow %s Yr4'!D128</f>
        <v>0</v>
      </c>
      <c r="E128" s="112">
        <f>'Cash Flow %s Yr4'!E128</f>
        <v>0</v>
      </c>
      <c r="F128" s="112">
        <f>'Cash Flow %s Yr4'!F128</f>
        <v>0.1</v>
      </c>
      <c r="G128" s="112">
        <f>'Cash Flow %s Yr4'!G128</f>
        <v>0.1</v>
      </c>
      <c r="H128" s="112">
        <f>'Cash Flow %s Yr4'!H128</f>
        <v>0.1</v>
      </c>
      <c r="I128" s="112">
        <f>'Cash Flow %s Yr4'!I128</f>
        <v>0.1</v>
      </c>
      <c r="J128" s="112">
        <f>'Cash Flow %s Yr4'!J128</f>
        <v>0.1</v>
      </c>
      <c r="K128" s="112">
        <f>'Cash Flow %s Yr4'!K128</f>
        <v>0.1</v>
      </c>
      <c r="L128" s="112">
        <f>'Cash Flow %s Yr4'!L128</f>
        <v>0.1</v>
      </c>
      <c r="M128" s="112">
        <f>'Cash Flow %s Yr4'!M128</f>
        <v>0.1</v>
      </c>
      <c r="N128" s="112">
        <f>'Cash Flow %s Yr4'!N128</f>
        <v>0.1</v>
      </c>
      <c r="O128" s="112">
        <f>'Cash Flow %s Yr4'!O128</f>
        <v>0.1</v>
      </c>
      <c r="P128" s="112">
        <f>'Cash Flow %s Yr4'!P128</f>
        <v>0</v>
      </c>
      <c r="Q128" s="112">
        <f>'Cash Flow %s Yr4'!Q128</f>
        <v>0</v>
      </c>
      <c r="R128" s="112">
        <f>'Cash Flow %s Yr4'!R128</f>
        <v>0</v>
      </c>
      <c r="S128" s="111">
        <f t="shared" si="9"/>
        <v>0.99999999999999989</v>
      </c>
    </row>
    <row r="129" spans="1:19" s="31" customFormat="1" x14ac:dyDescent="0.2">
      <c r="A129" s="36"/>
      <c r="B129" s="66" t="str">
        <f>'Expenses Summary'!B84</f>
        <v>5820</v>
      </c>
      <c r="C129" s="66" t="str">
        <f>'Expenses Summary'!C84</f>
        <v>Fundraising Expense</v>
      </c>
      <c r="D129" s="112">
        <f>'Cash Flow %s Yr4'!D129</f>
        <v>0</v>
      </c>
      <c r="E129" s="112">
        <f>'Cash Flow %s Yr4'!E129</f>
        <v>0</v>
      </c>
      <c r="F129" s="112">
        <f>'Cash Flow %s Yr4'!F129</f>
        <v>0.1</v>
      </c>
      <c r="G129" s="112">
        <f>'Cash Flow %s Yr4'!G129</f>
        <v>0.1</v>
      </c>
      <c r="H129" s="112">
        <f>'Cash Flow %s Yr4'!H129</f>
        <v>0.1</v>
      </c>
      <c r="I129" s="112">
        <f>'Cash Flow %s Yr4'!I129</f>
        <v>0.1</v>
      </c>
      <c r="J129" s="112">
        <f>'Cash Flow %s Yr4'!J129</f>
        <v>0.1</v>
      </c>
      <c r="K129" s="112">
        <f>'Cash Flow %s Yr4'!K129</f>
        <v>0.1</v>
      </c>
      <c r="L129" s="112">
        <f>'Cash Flow %s Yr4'!L129</f>
        <v>0.1</v>
      </c>
      <c r="M129" s="112">
        <f>'Cash Flow %s Yr4'!M129</f>
        <v>0.1</v>
      </c>
      <c r="N129" s="112">
        <f>'Cash Flow %s Yr4'!N129</f>
        <v>0.1</v>
      </c>
      <c r="O129" s="112">
        <f>'Cash Flow %s Yr4'!O129</f>
        <v>0.1</v>
      </c>
      <c r="P129" s="112">
        <f>'Cash Flow %s Yr4'!P129</f>
        <v>0</v>
      </c>
      <c r="Q129" s="112">
        <f>'Cash Flow %s Yr4'!Q129</f>
        <v>0</v>
      </c>
      <c r="R129" s="112">
        <f>'Cash Flow %s Yr4'!R129</f>
        <v>0</v>
      </c>
      <c r="S129" s="111">
        <f t="shared" si="9"/>
        <v>0.99999999999999989</v>
      </c>
    </row>
    <row r="130" spans="1:19" s="31" customFormat="1" x14ac:dyDescent="0.2">
      <c r="A130" s="36"/>
      <c r="B130" s="66" t="str">
        <f>'Expenses Summary'!B85</f>
        <v>5875</v>
      </c>
      <c r="C130" s="66" t="str">
        <f>'Expenses Summary'!C85</f>
        <v>District Oversight Fee</v>
      </c>
      <c r="D130" s="112">
        <f>'Cash Flow %s Yr4'!D130</f>
        <v>0.23704389000000001</v>
      </c>
      <c r="E130" s="112">
        <f>'Cash Flow %s Yr4'!E130</f>
        <v>0</v>
      </c>
      <c r="F130" s="112">
        <f>'Cash Flow %s Yr4'!F130</f>
        <v>0</v>
      </c>
      <c r="G130" s="112">
        <f>'Cash Flow %s Yr4'!G130</f>
        <v>0</v>
      </c>
      <c r="H130" s="112">
        <f>'Cash Flow %s Yr4'!H130</f>
        <v>0.184235654</v>
      </c>
      <c r="I130" s="112">
        <f>'Cash Flow %s Yr4'!I130</f>
        <v>0</v>
      </c>
      <c r="J130" s="112">
        <f>'Cash Flow %s Yr4'!J130</f>
        <v>0.28936000000000001</v>
      </c>
      <c r="K130" s="112">
        <f>'Cash Flow %s Yr4'!K130</f>
        <v>0</v>
      </c>
      <c r="L130" s="112">
        <f>'Cash Flow %s Yr4'!L130</f>
        <v>0</v>
      </c>
      <c r="M130" s="112">
        <f>'Cash Flow %s Yr4'!M130</f>
        <v>0.28936000000000001</v>
      </c>
      <c r="N130" s="112">
        <f>'Cash Flow %s Yr4'!N130</f>
        <v>0</v>
      </c>
      <c r="O130" s="112">
        <f>'Cash Flow %s Yr4'!O130</f>
        <v>0</v>
      </c>
      <c r="P130" s="112">
        <f>'Cash Flow %s Yr4'!P130</f>
        <v>0</v>
      </c>
      <c r="Q130" s="112">
        <f>'Cash Flow %s Yr4'!Q130</f>
        <v>0</v>
      </c>
      <c r="R130" s="112">
        <f>'Cash Flow %s Yr4'!R130</f>
        <v>0</v>
      </c>
      <c r="S130" s="111">
        <f t="shared" si="9"/>
        <v>0.99999954400000002</v>
      </c>
    </row>
    <row r="131" spans="1:19" s="31" customFormat="1" x14ac:dyDescent="0.2">
      <c r="A131" s="36"/>
      <c r="B131" s="66" t="str">
        <f>'Expenses Summary'!B86</f>
        <v>5890</v>
      </c>
      <c r="C131" s="66" t="str">
        <f>'Expenses Summary'!C86</f>
        <v>Interest Expense / Misc. Fees</v>
      </c>
      <c r="D131" s="112">
        <f>'Cash Flow %s Yr4'!D131</f>
        <v>8.33285E-2</v>
      </c>
      <c r="E131" s="112">
        <f>'Cash Flow %s Yr4'!E131</f>
        <v>8.33285E-2</v>
      </c>
      <c r="F131" s="112">
        <f>'Cash Flow %s Yr4'!F131</f>
        <v>8.33285E-2</v>
      </c>
      <c r="G131" s="112">
        <f>'Cash Flow %s Yr4'!G131</f>
        <v>8.33285E-2</v>
      </c>
      <c r="H131" s="112">
        <f>'Cash Flow %s Yr4'!H131</f>
        <v>8.33285E-2</v>
      </c>
      <c r="I131" s="112">
        <f>'Cash Flow %s Yr4'!I131</f>
        <v>8.33285E-2</v>
      </c>
      <c r="J131" s="112">
        <f>'Cash Flow %s Yr4'!J131</f>
        <v>8.33285E-2</v>
      </c>
      <c r="K131" s="112">
        <f>'Cash Flow %s Yr4'!K131</f>
        <v>8.33285E-2</v>
      </c>
      <c r="L131" s="112">
        <f>'Cash Flow %s Yr4'!L131</f>
        <v>8.33285E-2</v>
      </c>
      <c r="M131" s="112">
        <f>'Cash Flow %s Yr4'!M131</f>
        <v>8.33285E-2</v>
      </c>
      <c r="N131" s="112">
        <f>'Cash Flow %s Yr4'!N131</f>
        <v>8.33285E-2</v>
      </c>
      <c r="O131" s="112">
        <f>'Cash Flow %s Yr4'!O131</f>
        <v>8.3386000000000002E-2</v>
      </c>
      <c r="P131" s="112">
        <f>'Cash Flow %s Yr4'!P131</f>
        <v>0</v>
      </c>
      <c r="Q131" s="112">
        <f>'Cash Flow %s Yr4'!Q131</f>
        <v>0</v>
      </c>
      <c r="R131" s="112">
        <f>'Cash Flow %s Yr4'!R131</f>
        <v>0</v>
      </c>
      <c r="S131" s="111">
        <f t="shared" si="9"/>
        <v>0.99999950000000015</v>
      </c>
    </row>
    <row r="132" spans="1:19" s="31" customFormat="1" x14ac:dyDescent="0.2">
      <c r="A132" s="36"/>
      <c r="B132" s="66" t="str">
        <f>'Expenses Summary'!B87</f>
        <v>5891</v>
      </c>
      <c r="C132" s="66" t="str">
        <f>'Expenses Summary'!C87</f>
        <v>Charter School Capital Fees</v>
      </c>
      <c r="D132" s="112">
        <f>'Cash Flow %s Yr4'!D132</f>
        <v>8.3000000000000004E-2</v>
      </c>
      <c r="E132" s="112">
        <f>'Cash Flow %s Yr4'!E132</f>
        <v>8.3000000000000004E-2</v>
      </c>
      <c r="F132" s="112">
        <f>'Cash Flow %s Yr4'!F132</f>
        <v>8.3000000000000004E-2</v>
      </c>
      <c r="G132" s="112">
        <f>'Cash Flow %s Yr4'!G132</f>
        <v>8.3000000000000004E-2</v>
      </c>
      <c r="H132" s="112">
        <f>'Cash Flow %s Yr4'!H132</f>
        <v>8.3000000000000004E-2</v>
      </c>
      <c r="I132" s="112">
        <f>'Cash Flow %s Yr4'!I132</f>
        <v>8.3000000000000004E-2</v>
      </c>
      <c r="J132" s="112">
        <f>'Cash Flow %s Yr4'!J132</f>
        <v>8.3000000000000004E-2</v>
      </c>
      <c r="K132" s="112">
        <f>'Cash Flow %s Yr4'!K132</f>
        <v>8.3000000000000004E-2</v>
      </c>
      <c r="L132" s="112">
        <f>'Cash Flow %s Yr4'!L132</f>
        <v>8.4000000000000005E-2</v>
      </c>
      <c r="M132" s="112">
        <f>'Cash Flow %s Yr4'!M132</f>
        <v>8.4000000000000005E-2</v>
      </c>
      <c r="N132" s="112">
        <f>'Cash Flow %s Yr4'!N132</f>
        <v>8.4000000000000005E-2</v>
      </c>
      <c r="O132" s="112">
        <f>'Cash Flow %s Yr4'!O132</f>
        <v>8.4000000000000005E-2</v>
      </c>
      <c r="P132" s="112">
        <f>'Cash Flow %s Yr4'!P132</f>
        <v>0</v>
      </c>
      <c r="Q132" s="112">
        <f>'Cash Flow %s Yr4'!Q132</f>
        <v>0</v>
      </c>
      <c r="R132" s="112">
        <f>'Cash Flow %s Yr4'!R132</f>
        <v>0</v>
      </c>
      <c r="S132" s="111">
        <f t="shared" si="9"/>
        <v>0.99999999999999989</v>
      </c>
    </row>
    <row r="133" spans="1:19" s="31" customFormat="1" hidden="1" outlineLevel="1" x14ac:dyDescent="0.2">
      <c r="A133" s="36"/>
      <c r="B133" s="66" t="str">
        <f>'Expenses Summary'!B88</f>
        <v>5899</v>
      </c>
      <c r="C133" s="66" t="str">
        <f>'Expenses Summary'!C88</f>
        <v>CMO Management Fee</v>
      </c>
      <c r="D133" s="112">
        <f>'Cash Flow %s Yr4'!D133</f>
        <v>0</v>
      </c>
      <c r="E133" s="112">
        <f>'Cash Flow %s Yr4'!E133</f>
        <v>0</v>
      </c>
      <c r="F133" s="112">
        <f>'Cash Flow %s Yr4'!F133</f>
        <v>0.1</v>
      </c>
      <c r="G133" s="112">
        <f>'Cash Flow %s Yr4'!G133</f>
        <v>0.1</v>
      </c>
      <c r="H133" s="112">
        <f>'Cash Flow %s Yr4'!H133</f>
        <v>0.1</v>
      </c>
      <c r="I133" s="112">
        <f>'Cash Flow %s Yr4'!I133</f>
        <v>0.1</v>
      </c>
      <c r="J133" s="112">
        <f>'Cash Flow %s Yr4'!J133</f>
        <v>0.1</v>
      </c>
      <c r="K133" s="112">
        <f>'Cash Flow %s Yr4'!K133</f>
        <v>0.1</v>
      </c>
      <c r="L133" s="112">
        <f>'Cash Flow %s Yr4'!L133</f>
        <v>0.1</v>
      </c>
      <c r="M133" s="112">
        <f>'Cash Flow %s Yr4'!M133</f>
        <v>0.1</v>
      </c>
      <c r="N133" s="112">
        <f>'Cash Flow %s Yr4'!N133</f>
        <v>0.1</v>
      </c>
      <c r="O133" s="112">
        <f>'Cash Flow %s Yr4'!O133</f>
        <v>0.1</v>
      </c>
      <c r="P133" s="112">
        <f>'Cash Flow %s Yr4'!P133</f>
        <v>0</v>
      </c>
      <c r="Q133" s="112">
        <f>'Cash Flow %s Yr4'!Q133</f>
        <v>0</v>
      </c>
      <c r="R133" s="112">
        <f>'Cash Flow %s Yr4'!R133</f>
        <v>0</v>
      </c>
      <c r="S133" s="111">
        <f t="shared" si="9"/>
        <v>0.99999999999999989</v>
      </c>
    </row>
    <row r="134" spans="1:19" s="31" customFormat="1" hidden="1" outlineLevel="1" x14ac:dyDescent="0.2">
      <c r="A134" s="36"/>
      <c r="B134" s="66" t="str">
        <f>'Expenses Summary'!B89</f>
        <v>5900</v>
      </c>
      <c r="C134" s="66" t="str">
        <f>'Expenses Summary'!C89</f>
        <v>Communications</v>
      </c>
      <c r="D134" s="112">
        <f>'Cash Flow %s Yr4'!D134</f>
        <v>0</v>
      </c>
      <c r="E134" s="112">
        <f>'Cash Flow %s Yr4'!E134</f>
        <v>0</v>
      </c>
      <c r="F134" s="112">
        <f>'Cash Flow %s Yr4'!F134</f>
        <v>0.1</v>
      </c>
      <c r="G134" s="112">
        <f>'Cash Flow %s Yr4'!G134</f>
        <v>0.1</v>
      </c>
      <c r="H134" s="112">
        <f>'Cash Flow %s Yr4'!H134</f>
        <v>0.1</v>
      </c>
      <c r="I134" s="112">
        <f>'Cash Flow %s Yr4'!I134</f>
        <v>0.1</v>
      </c>
      <c r="J134" s="112">
        <f>'Cash Flow %s Yr4'!J134</f>
        <v>0.1</v>
      </c>
      <c r="K134" s="112">
        <f>'Cash Flow %s Yr4'!K134</f>
        <v>0.1</v>
      </c>
      <c r="L134" s="112">
        <f>'Cash Flow %s Yr4'!L134</f>
        <v>0.1</v>
      </c>
      <c r="M134" s="112">
        <f>'Cash Flow %s Yr4'!M134</f>
        <v>0.1</v>
      </c>
      <c r="N134" s="112">
        <f>'Cash Flow %s Yr4'!N134</f>
        <v>0.1</v>
      </c>
      <c r="O134" s="112">
        <f>'Cash Flow %s Yr4'!O134</f>
        <v>0.1</v>
      </c>
      <c r="P134" s="112">
        <f>'Cash Flow %s Yr4'!P134</f>
        <v>0</v>
      </c>
      <c r="Q134" s="112">
        <f>'Cash Flow %s Yr4'!Q134</f>
        <v>0</v>
      </c>
      <c r="R134" s="112">
        <f>'Cash Flow %s Yr4'!R134</f>
        <v>0</v>
      </c>
      <c r="S134" s="111">
        <f t="shared" si="9"/>
        <v>0.99999999999999989</v>
      </c>
    </row>
    <row r="135" spans="1:19" s="31" customFormat="1" hidden="1" outlineLevel="1" x14ac:dyDescent="0.2">
      <c r="A135" s="36"/>
      <c r="B135" s="66">
        <f>'Expenses Summary'!B90</f>
        <v>0</v>
      </c>
      <c r="C135" s="66">
        <f>'Expenses Summary'!C90</f>
        <v>0</v>
      </c>
      <c r="D135" s="112">
        <f>'Cash Flow %s Yr4'!D135</f>
        <v>0</v>
      </c>
      <c r="E135" s="112">
        <f>'Cash Flow %s Yr4'!E135</f>
        <v>0</v>
      </c>
      <c r="F135" s="112">
        <f>'Cash Flow %s Yr4'!F135</f>
        <v>0.1</v>
      </c>
      <c r="G135" s="112">
        <f>'Cash Flow %s Yr4'!G135</f>
        <v>0.1</v>
      </c>
      <c r="H135" s="112">
        <f>'Cash Flow %s Yr4'!H135</f>
        <v>0.1</v>
      </c>
      <c r="I135" s="112">
        <f>'Cash Flow %s Yr4'!I135</f>
        <v>0.1</v>
      </c>
      <c r="J135" s="112">
        <f>'Cash Flow %s Yr4'!J135</f>
        <v>0.1</v>
      </c>
      <c r="K135" s="112">
        <f>'Cash Flow %s Yr4'!K135</f>
        <v>0.1</v>
      </c>
      <c r="L135" s="112">
        <f>'Cash Flow %s Yr4'!L135</f>
        <v>0.1</v>
      </c>
      <c r="M135" s="112">
        <f>'Cash Flow %s Yr4'!M135</f>
        <v>0.1</v>
      </c>
      <c r="N135" s="112">
        <f>'Cash Flow %s Yr4'!N135</f>
        <v>0.1</v>
      </c>
      <c r="O135" s="112">
        <f>'Cash Flow %s Yr4'!O135</f>
        <v>0.1</v>
      </c>
      <c r="P135" s="112">
        <f>'Cash Flow %s Yr4'!P135</f>
        <v>0</v>
      </c>
      <c r="Q135" s="112">
        <f>'Cash Flow %s Yr4'!Q135</f>
        <v>0</v>
      </c>
      <c r="R135" s="112">
        <f>'Cash Flow %s Yr4'!R135</f>
        <v>0</v>
      </c>
      <c r="S135" s="111">
        <f t="shared" si="9"/>
        <v>0.99999999999999989</v>
      </c>
    </row>
    <row r="136" spans="1:19" s="31" customFormat="1" hidden="1" outlineLevel="1" x14ac:dyDescent="0.2">
      <c r="A136" s="36"/>
      <c r="B136" s="66">
        <f>'Expenses Summary'!B91</f>
        <v>0</v>
      </c>
      <c r="C136" s="66">
        <f>'Expenses Summary'!C91</f>
        <v>0</v>
      </c>
      <c r="D136" s="112">
        <f>'Cash Flow %s Yr4'!D136</f>
        <v>0</v>
      </c>
      <c r="E136" s="112">
        <f>'Cash Flow %s Yr4'!E136</f>
        <v>0</v>
      </c>
      <c r="F136" s="112">
        <f>'Cash Flow %s Yr4'!F136</f>
        <v>0.1</v>
      </c>
      <c r="G136" s="112">
        <f>'Cash Flow %s Yr4'!G136</f>
        <v>0.1</v>
      </c>
      <c r="H136" s="112">
        <f>'Cash Flow %s Yr4'!H136</f>
        <v>0.1</v>
      </c>
      <c r="I136" s="112">
        <f>'Cash Flow %s Yr4'!I136</f>
        <v>0.1</v>
      </c>
      <c r="J136" s="112">
        <f>'Cash Flow %s Yr4'!J136</f>
        <v>0.1</v>
      </c>
      <c r="K136" s="112">
        <f>'Cash Flow %s Yr4'!K136</f>
        <v>0.1</v>
      </c>
      <c r="L136" s="112">
        <f>'Cash Flow %s Yr4'!L136</f>
        <v>0.1</v>
      </c>
      <c r="M136" s="112">
        <f>'Cash Flow %s Yr4'!M136</f>
        <v>0.1</v>
      </c>
      <c r="N136" s="112">
        <f>'Cash Flow %s Yr4'!N136</f>
        <v>0.1</v>
      </c>
      <c r="O136" s="112">
        <f>'Cash Flow %s Yr4'!O136</f>
        <v>0.1</v>
      </c>
      <c r="P136" s="112">
        <f>'Cash Flow %s Yr4'!P136</f>
        <v>0</v>
      </c>
      <c r="Q136" s="112">
        <f>'Cash Flow %s Yr4'!Q136</f>
        <v>0</v>
      </c>
      <c r="R136" s="112">
        <f>'Cash Flow %s Yr4'!R136</f>
        <v>0</v>
      </c>
      <c r="S136" s="111">
        <f t="shared" si="9"/>
        <v>0.99999999999999989</v>
      </c>
    </row>
    <row r="137" spans="1:19" s="31" customFormat="1" hidden="1" outlineLevel="1" x14ac:dyDescent="0.2">
      <c r="A137" s="36"/>
      <c r="B137" s="66">
        <f>'Expenses Summary'!B92</f>
        <v>0</v>
      </c>
      <c r="C137" s="66">
        <f>'Expenses Summary'!C92</f>
        <v>0</v>
      </c>
      <c r="D137" s="112">
        <f>'Cash Flow %s Yr4'!D137</f>
        <v>0</v>
      </c>
      <c r="E137" s="112">
        <f>'Cash Flow %s Yr4'!E137</f>
        <v>0</v>
      </c>
      <c r="F137" s="112">
        <f>'Cash Flow %s Yr4'!F137</f>
        <v>0.1</v>
      </c>
      <c r="G137" s="112">
        <f>'Cash Flow %s Yr4'!G137</f>
        <v>0.1</v>
      </c>
      <c r="H137" s="112">
        <f>'Cash Flow %s Yr4'!H137</f>
        <v>0.1</v>
      </c>
      <c r="I137" s="112">
        <f>'Cash Flow %s Yr4'!I137</f>
        <v>0.1</v>
      </c>
      <c r="J137" s="112">
        <f>'Cash Flow %s Yr4'!J137</f>
        <v>0.1</v>
      </c>
      <c r="K137" s="112">
        <f>'Cash Flow %s Yr4'!K137</f>
        <v>0.1</v>
      </c>
      <c r="L137" s="112">
        <f>'Cash Flow %s Yr4'!L137</f>
        <v>0.1</v>
      </c>
      <c r="M137" s="112">
        <f>'Cash Flow %s Yr4'!M137</f>
        <v>0.1</v>
      </c>
      <c r="N137" s="112">
        <f>'Cash Flow %s Yr4'!N137</f>
        <v>0.1</v>
      </c>
      <c r="O137" s="112">
        <f>'Cash Flow %s Yr4'!O137</f>
        <v>0.1</v>
      </c>
      <c r="P137" s="112">
        <f>'Cash Flow %s Yr4'!P137</f>
        <v>0</v>
      </c>
      <c r="Q137" s="112">
        <f>'Cash Flow %s Yr4'!Q137</f>
        <v>0</v>
      </c>
      <c r="R137" s="112">
        <f>'Cash Flow %s Yr4'!R137</f>
        <v>0</v>
      </c>
      <c r="S137" s="111">
        <f t="shared" si="9"/>
        <v>0.99999999999999989</v>
      </c>
    </row>
    <row r="138" spans="1:19" s="31" customFormat="1" hidden="1" outlineLevel="1" x14ac:dyDescent="0.2">
      <c r="A138" s="36"/>
      <c r="B138" s="66">
        <f>'Expenses Summary'!B93</f>
        <v>0</v>
      </c>
      <c r="C138" s="66">
        <f>'Expenses Summary'!C93</f>
        <v>0</v>
      </c>
      <c r="D138" s="112">
        <f>'Cash Flow %s Yr4'!D138</f>
        <v>0</v>
      </c>
      <c r="E138" s="112">
        <f>'Cash Flow %s Yr4'!E138</f>
        <v>0</v>
      </c>
      <c r="F138" s="112">
        <f>'Cash Flow %s Yr4'!F138</f>
        <v>0.1</v>
      </c>
      <c r="G138" s="112">
        <f>'Cash Flow %s Yr4'!G138</f>
        <v>0.1</v>
      </c>
      <c r="H138" s="112">
        <f>'Cash Flow %s Yr4'!H138</f>
        <v>0.1</v>
      </c>
      <c r="I138" s="112">
        <f>'Cash Flow %s Yr4'!I138</f>
        <v>0.1</v>
      </c>
      <c r="J138" s="112">
        <f>'Cash Flow %s Yr4'!J138</f>
        <v>0.1</v>
      </c>
      <c r="K138" s="112">
        <f>'Cash Flow %s Yr4'!K138</f>
        <v>0.1</v>
      </c>
      <c r="L138" s="112">
        <f>'Cash Flow %s Yr4'!L138</f>
        <v>0.1</v>
      </c>
      <c r="M138" s="112">
        <f>'Cash Flow %s Yr4'!M138</f>
        <v>0.1</v>
      </c>
      <c r="N138" s="112">
        <f>'Cash Flow %s Yr4'!N138</f>
        <v>0.1</v>
      </c>
      <c r="O138" s="112">
        <f>'Cash Flow %s Yr4'!O138</f>
        <v>0.1</v>
      </c>
      <c r="P138" s="112">
        <f>'Cash Flow %s Yr4'!P138</f>
        <v>0</v>
      </c>
      <c r="Q138" s="112">
        <f>'Cash Flow %s Yr4'!Q138</f>
        <v>0</v>
      </c>
      <c r="R138" s="112">
        <f>'Cash Flow %s Yr4'!R138</f>
        <v>0</v>
      </c>
      <c r="S138" s="111">
        <f t="shared" si="9"/>
        <v>0.99999999999999989</v>
      </c>
    </row>
    <row r="139" spans="1:19" s="31" customFormat="1" hidden="1" outlineLevel="1" x14ac:dyDescent="0.2">
      <c r="A139" s="36"/>
      <c r="B139" s="66">
        <f>'Expenses Summary'!B94</f>
        <v>0</v>
      </c>
      <c r="C139" s="66">
        <f>'Expenses Summary'!C94</f>
        <v>0</v>
      </c>
      <c r="D139" s="112">
        <f>'Cash Flow %s Yr4'!D139</f>
        <v>0</v>
      </c>
      <c r="E139" s="112">
        <f>'Cash Flow %s Yr4'!E139</f>
        <v>0</v>
      </c>
      <c r="F139" s="112">
        <f>'Cash Flow %s Yr4'!F139</f>
        <v>0.1</v>
      </c>
      <c r="G139" s="112">
        <f>'Cash Flow %s Yr4'!G139</f>
        <v>0.1</v>
      </c>
      <c r="H139" s="112">
        <f>'Cash Flow %s Yr4'!H139</f>
        <v>0.1</v>
      </c>
      <c r="I139" s="112">
        <f>'Cash Flow %s Yr4'!I139</f>
        <v>0.1</v>
      </c>
      <c r="J139" s="112">
        <f>'Cash Flow %s Yr4'!J139</f>
        <v>0.1</v>
      </c>
      <c r="K139" s="112">
        <f>'Cash Flow %s Yr4'!K139</f>
        <v>0.1</v>
      </c>
      <c r="L139" s="112">
        <f>'Cash Flow %s Yr4'!L139</f>
        <v>0.1</v>
      </c>
      <c r="M139" s="112">
        <f>'Cash Flow %s Yr4'!M139</f>
        <v>0.1</v>
      </c>
      <c r="N139" s="112">
        <f>'Cash Flow %s Yr4'!N139</f>
        <v>0.1</v>
      </c>
      <c r="O139" s="112">
        <f>'Cash Flow %s Yr4'!O139</f>
        <v>0.1</v>
      </c>
      <c r="P139" s="112">
        <f>'Cash Flow %s Yr4'!P139</f>
        <v>0</v>
      </c>
      <c r="Q139" s="112">
        <f>'Cash Flow %s Yr4'!Q139</f>
        <v>0</v>
      </c>
      <c r="R139" s="112">
        <f>'Cash Flow %s Yr4'!R139</f>
        <v>0</v>
      </c>
      <c r="S139" s="111">
        <f t="shared" si="9"/>
        <v>0.99999999999999989</v>
      </c>
    </row>
    <row r="140" spans="1:19" s="31" customFormat="1" hidden="1" outlineLevel="1" x14ac:dyDescent="0.2">
      <c r="A140" s="36"/>
      <c r="B140" s="66">
        <f>'Expenses Summary'!B95</f>
        <v>0</v>
      </c>
      <c r="C140" s="66">
        <f>'Expenses Summary'!C95</f>
        <v>0</v>
      </c>
      <c r="D140" s="112">
        <f>'Cash Flow %s Yr4'!D140</f>
        <v>0</v>
      </c>
      <c r="E140" s="112">
        <f>'Cash Flow %s Yr4'!E140</f>
        <v>0</v>
      </c>
      <c r="F140" s="112">
        <f>'Cash Flow %s Yr4'!F140</f>
        <v>0.1</v>
      </c>
      <c r="G140" s="112">
        <f>'Cash Flow %s Yr4'!G140</f>
        <v>0.1</v>
      </c>
      <c r="H140" s="112">
        <f>'Cash Flow %s Yr4'!H140</f>
        <v>0.1</v>
      </c>
      <c r="I140" s="112">
        <f>'Cash Flow %s Yr4'!I140</f>
        <v>0.1</v>
      </c>
      <c r="J140" s="112">
        <f>'Cash Flow %s Yr4'!J140</f>
        <v>0.1</v>
      </c>
      <c r="K140" s="112">
        <f>'Cash Flow %s Yr4'!K140</f>
        <v>0.1</v>
      </c>
      <c r="L140" s="112">
        <f>'Cash Flow %s Yr4'!L140</f>
        <v>0.1</v>
      </c>
      <c r="M140" s="112">
        <f>'Cash Flow %s Yr4'!M140</f>
        <v>0.1</v>
      </c>
      <c r="N140" s="112">
        <f>'Cash Flow %s Yr4'!N140</f>
        <v>0.1</v>
      </c>
      <c r="O140" s="112">
        <f>'Cash Flow %s Yr4'!O140</f>
        <v>0.1</v>
      </c>
      <c r="P140" s="112">
        <f>'Cash Flow %s Yr4'!P140</f>
        <v>0</v>
      </c>
      <c r="Q140" s="112">
        <f>'Cash Flow %s Yr4'!Q140</f>
        <v>0</v>
      </c>
      <c r="R140" s="112">
        <f>'Cash Flow %s Yr4'!R140</f>
        <v>0</v>
      </c>
      <c r="S140" s="111">
        <f t="shared" si="9"/>
        <v>0.99999999999999989</v>
      </c>
    </row>
    <row r="141" spans="1:19" s="31" customFormat="1" hidden="1" outlineLevel="1" x14ac:dyDescent="0.2">
      <c r="A141" s="36"/>
      <c r="B141" s="66">
        <f>'Expenses Summary'!B96</f>
        <v>0</v>
      </c>
      <c r="C141" s="66">
        <f>'Expenses Summary'!C96</f>
        <v>0</v>
      </c>
      <c r="D141" s="112">
        <f>'Cash Flow %s Yr4'!D141</f>
        <v>0</v>
      </c>
      <c r="E141" s="112">
        <f>'Cash Flow %s Yr4'!E141</f>
        <v>0</v>
      </c>
      <c r="F141" s="112">
        <f>'Cash Flow %s Yr4'!F141</f>
        <v>0.1</v>
      </c>
      <c r="G141" s="112">
        <f>'Cash Flow %s Yr4'!G141</f>
        <v>0.1</v>
      </c>
      <c r="H141" s="112">
        <f>'Cash Flow %s Yr4'!H141</f>
        <v>0.1</v>
      </c>
      <c r="I141" s="112">
        <f>'Cash Flow %s Yr4'!I141</f>
        <v>0.1</v>
      </c>
      <c r="J141" s="112">
        <f>'Cash Flow %s Yr4'!J141</f>
        <v>0.1</v>
      </c>
      <c r="K141" s="112">
        <f>'Cash Flow %s Yr4'!K141</f>
        <v>0.1</v>
      </c>
      <c r="L141" s="112">
        <f>'Cash Flow %s Yr4'!L141</f>
        <v>0.1</v>
      </c>
      <c r="M141" s="112">
        <f>'Cash Flow %s Yr4'!M141</f>
        <v>0.1</v>
      </c>
      <c r="N141" s="112">
        <f>'Cash Flow %s Yr4'!N141</f>
        <v>0.1</v>
      </c>
      <c r="O141" s="112">
        <f>'Cash Flow %s Yr4'!O141</f>
        <v>0.1</v>
      </c>
      <c r="P141" s="112">
        <f>'Cash Flow %s Yr4'!P141</f>
        <v>0</v>
      </c>
      <c r="Q141" s="112">
        <f>'Cash Flow %s Yr4'!Q141</f>
        <v>0</v>
      </c>
      <c r="R141" s="112">
        <f>'Cash Flow %s Yr4'!R141</f>
        <v>0</v>
      </c>
      <c r="S141" s="111">
        <f t="shared" si="9"/>
        <v>0.99999999999999989</v>
      </c>
    </row>
    <row r="142" spans="1:19" s="31" customFormat="1" hidden="1" outlineLevel="1" x14ac:dyDescent="0.2">
      <c r="A142" s="36"/>
      <c r="B142" s="66">
        <f>'Expenses Summary'!B97</f>
        <v>0</v>
      </c>
      <c r="C142" s="66">
        <f>'Expenses Summary'!C97</f>
        <v>0</v>
      </c>
      <c r="D142" s="112">
        <f>'Cash Flow %s Yr4'!D142</f>
        <v>0</v>
      </c>
      <c r="E142" s="112">
        <f>'Cash Flow %s Yr4'!E142</f>
        <v>0</v>
      </c>
      <c r="F142" s="112">
        <f>'Cash Flow %s Yr4'!F142</f>
        <v>0.1</v>
      </c>
      <c r="G142" s="112">
        <f>'Cash Flow %s Yr4'!G142</f>
        <v>0.1</v>
      </c>
      <c r="H142" s="112">
        <f>'Cash Flow %s Yr4'!H142</f>
        <v>0.1</v>
      </c>
      <c r="I142" s="112">
        <f>'Cash Flow %s Yr4'!I142</f>
        <v>0.1</v>
      </c>
      <c r="J142" s="112">
        <f>'Cash Flow %s Yr4'!J142</f>
        <v>0.1</v>
      </c>
      <c r="K142" s="112">
        <f>'Cash Flow %s Yr4'!K142</f>
        <v>0.1</v>
      </c>
      <c r="L142" s="112">
        <f>'Cash Flow %s Yr4'!L142</f>
        <v>0.1</v>
      </c>
      <c r="M142" s="112">
        <f>'Cash Flow %s Yr4'!M142</f>
        <v>0.1</v>
      </c>
      <c r="N142" s="112">
        <f>'Cash Flow %s Yr4'!N142</f>
        <v>0.1</v>
      </c>
      <c r="O142" s="112">
        <f>'Cash Flow %s Yr4'!O142</f>
        <v>0.1</v>
      </c>
      <c r="P142" s="112">
        <f>'Cash Flow %s Yr4'!P142</f>
        <v>0</v>
      </c>
      <c r="Q142" s="112">
        <f>'Cash Flow %s Yr4'!Q142</f>
        <v>0</v>
      </c>
      <c r="R142" s="112">
        <f>'Cash Flow %s Yr4'!R142</f>
        <v>0</v>
      </c>
      <c r="S142" s="111">
        <f>SUM(D142:R142)</f>
        <v>0.99999999999999989</v>
      </c>
    </row>
    <row r="143" spans="1:19" s="31" customFormat="1" collapsed="1" x14ac:dyDescent="0.2">
      <c r="A143" s="36"/>
      <c r="B143" s="66" t="str">
        <f>'Expenses Summary'!B98</f>
        <v>5999</v>
      </c>
      <c r="C143" s="66" t="str">
        <f>'Expenses Summary'!C98</f>
        <v>Expense Suspense</v>
      </c>
      <c r="D143" s="112">
        <f>'Cash Flow %s Yr4'!D143</f>
        <v>0.05</v>
      </c>
      <c r="E143" s="112">
        <f>'Cash Flow %s Yr4'!E143</f>
        <v>0.05</v>
      </c>
      <c r="F143" s="112">
        <f>'Cash Flow %s Yr4'!F143</f>
        <v>0.09</v>
      </c>
      <c r="G143" s="112">
        <f>'Cash Flow %s Yr4'!G143</f>
        <v>0.09</v>
      </c>
      <c r="H143" s="112">
        <f>'Cash Flow %s Yr4'!H143</f>
        <v>0.09</v>
      </c>
      <c r="I143" s="112">
        <f>'Cash Flow %s Yr4'!I143</f>
        <v>0.09</v>
      </c>
      <c r="J143" s="112">
        <f>'Cash Flow %s Yr4'!J143</f>
        <v>0.09</v>
      </c>
      <c r="K143" s="112">
        <f>'Cash Flow %s Yr4'!K143</f>
        <v>0.09</v>
      </c>
      <c r="L143" s="112">
        <f>'Cash Flow %s Yr4'!L143</f>
        <v>0.09</v>
      </c>
      <c r="M143" s="112">
        <f>'Cash Flow %s Yr4'!M143</f>
        <v>0.09</v>
      </c>
      <c r="N143" s="112">
        <f>'Cash Flow %s Yr4'!N143</f>
        <v>0.09</v>
      </c>
      <c r="O143" s="112">
        <f>'Cash Flow %s Yr4'!O143</f>
        <v>0.09</v>
      </c>
      <c r="P143" s="112">
        <f>'Cash Flow %s Yr4'!P143</f>
        <v>0</v>
      </c>
      <c r="Q143" s="112">
        <f>'Cash Flow %s Yr4'!Q143</f>
        <v>0</v>
      </c>
      <c r="R143" s="112">
        <f>'Cash Flow %s Yr4'!R143</f>
        <v>0</v>
      </c>
      <c r="S143" s="111">
        <f>SUM(D143:R143)</f>
        <v>0.99999999999999978</v>
      </c>
    </row>
    <row r="144" spans="1:19" s="31" customFormat="1" x14ac:dyDescent="0.2">
      <c r="A144" s="36"/>
      <c r="B144" s="124"/>
      <c r="C144" s="93"/>
      <c r="D144" s="100"/>
      <c r="E144" s="100"/>
      <c r="F144" s="100"/>
      <c r="G144" s="100"/>
      <c r="H144" s="100"/>
      <c r="I144" s="100"/>
      <c r="J144" s="100"/>
      <c r="K144" s="100"/>
      <c r="L144" s="100"/>
      <c r="M144" s="100"/>
      <c r="N144" s="100"/>
      <c r="O144" s="100"/>
      <c r="P144" s="108"/>
      <c r="Q144" s="108"/>
      <c r="R144" s="108"/>
      <c r="S144" s="111"/>
    </row>
    <row r="145" spans="1:24" s="31" customFormat="1" x14ac:dyDescent="0.2">
      <c r="A145" s="36"/>
      <c r="B145" s="4"/>
      <c r="C145" s="3"/>
      <c r="D145" s="95"/>
      <c r="E145" s="95"/>
      <c r="F145" s="95"/>
      <c r="G145" s="95"/>
      <c r="H145" s="95"/>
      <c r="I145" s="95"/>
      <c r="J145" s="95"/>
      <c r="K145" s="95"/>
      <c r="L145" s="95"/>
      <c r="M145" s="95"/>
      <c r="N145" s="95"/>
      <c r="O145" s="95"/>
      <c r="P145" s="95"/>
      <c r="Q145" s="95"/>
      <c r="R145" s="95"/>
      <c r="S145" s="111"/>
    </row>
    <row r="146" spans="1:24" s="31" customFormat="1" x14ac:dyDescent="0.2">
      <c r="B146" s="34" t="s">
        <v>723</v>
      </c>
      <c r="C146" s="3"/>
      <c r="D146" s="95"/>
      <c r="E146" s="95"/>
      <c r="F146" s="95"/>
      <c r="G146" s="95"/>
      <c r="H146" s="95"/>
      <c r="I146" s="95"/>
      <c r="J146" s="95"/>
      <c r="K146" s="95"/>
      <c r="L146" s="95"/>
      <c r="M146" s="95"/>
      <c r="N146" s="95"/>
      <c r="O146" s="95"/>
      <c r="P146" s="95"/>
      <c r="Q146" s="95"/>
      <c r="R146" s="95"/>
      <c r="S146" s="111"/>
    </row>
    <row r="147" spans="1:24" s="31" customFormat="1" x14ac:dyDescent="0.2">
      <c r="A147" s="36"/>
      <c r="B147" s="66" t="str">
        <f>'Expenses Summary'!B102</f>
        <v>6900</v>
      </c>
      <c r="C147" s="66" t="str">
        <f>'Expenses Summary'!C102</f>
        <v xml:space="preserve">Depreciation Expense                                                            </v>
      </c>
      <c r="D147" s="112">
        <f>'Cash Flow %s Yr4'!D147</f>
        <v>0</v>
      </c>
      <c r="E147" s="112">
        <f>'Cash Flow %s Yr4'!E147</f>
        <v>0</v>
      </c>
      <c r="F147" s="112">
        <f>'Cash Flow %s Yr4'!F147</f>
        <v>0</v>
      </c>
      <c r="G147" s="112">
        <f>'Cash Flow %s Yr4'!G147</f>
        <v>0</v>
      </c>
      <c r="H147" s="112">
        <f>'Cash Flow %s Yr4'!H147</f>
        <v>0</v>
      </c>
      <c r="I147" s="112">
        <f>'Cash Flow %s Yr4'!I147</f>
        <v>0</v>
      </c>
      <c r="J147" s="112">
        <f>'Cash Flow %s Yr4'!J147</f>
        <v>0</v>
      </c>
      <c r="K147" s="112">
        <f>'Cash Flow %s Yr4'!K147</f>
        <v>0</v>
      </c>
      <c r="L147" s="112">
        <f>'Cash Flow %s Yr4'!L147</f>
        <v>0</v>
      </c>
      <c r="M147" s="112">
        <f>'Cash Flow %s Yr4'!M147</f>
        <v>0</v>
      </c>
      <c r="N147" s="112">
        <f>'Cash Flow %s Yr4'!N147</f>
        <v>0</v>
      </c>
      <c r="O147" s="112">
        <f>'Cash Flow %s Yr4'!O147</f>
        <v>1</v>
      </c>
      <c r="P147" s="112">
        <f>'Cash Flow %s Yr4'!P147</f>
        <v>0</v>
      </c>
      <c r="Q147" s="112">
        <f>'Cash Flow %s Yr4'!Q147</f>
        <v>0</v>
      </c>
      <c r="R147" s="112">
        <f>'Cash Flow %s Yr4'!R147</f>
        <v>0</v>
      </c>
      <c r="S147" s="111">
        <f>SUM(D147:R147)</f>
        <v>1</v>
      </c>
    </row>
    <row r="148" spans="1:24" s="31" customFormat="1" x14ac:dyDescent="0.2">
      <c r="A148" s="36"/>
      <c r="B148" s="124"/>
      <c r="C148" s="93"/>
      <c r="D148" s="100"/>
      <c r="E148" s="100"/>
      <c r="F148" s="100"/>
      <c r="G148" s="100"/>
      <c r="H148" s="100"/>
      <c r="I148" s="108"/>
      <c r="J148" s="108"/>
      <c r="K148" s="108"/>
      <c r="L148" s="108"/>
      <c r="M148" s="108"/>
      <c r="N148" s="108"/>
      <c r="O148" s="108"/>
      <c r="P148" s="108"/>
      <c r="Q148" s="108"/>
      <c r="R148" s="108"/>
      <c r="S148" s="111"/>
    </row>
    <row r="149" spans="1:24" s="31" customFormat="1" x14ac:dyDescent="0.2">
      <c r="A149" s="36"/>
      <c r="B149" s="4"/>
      <c r="C149" s="3"/>
      <c r="D149" s="95"/>
      <c r="E149" s="104"/>
      <c r="F149" s="104"/>
      <c r="G149" s="95"/>
      <c r="H149" s="95"/>
      <c r="I149" s="95"/>
      <c r="J149" s="95"/>
      <c r="K149" s="95"/>
      <c r="L149" s="95"/>
      <c r="M149" s="95"/>
      <c r="N149" s="95"/>
      <c r="O149" s="95"/>
      <c r="P149" s="95"/>
      <c r="Q149" s="95"/>
      <c r="R149" s="95"/>
      <c r="S149" s="111"/>
    </row>
    <row r="150" spans="1:24" s="31" customFormat="1" x14ac:dyDescent="0.2">
      <c r="B150" s="34" t="s">
        <v>724</v>
      </c>
      <c r="C150" s="3"/>
      <c r="D150" s="95"/>
      <c r="E150" s="104"/>
      <c r="F150" s="104"/>
      <c r="G150" s="95"/>
      <c r="H150" s="95"/>
      <c r="I150" s="95"/>
      <c r="J150" s="95"/>
      <c r="K150" s="95"/>
      <c r="L150" s="95"/>
      <c r="M150" s="95"/>
      <c r="N150" s="95"/>
      <c r="O150" s="95"/>
      <c r="P150" s="95"/>
      <c r="Q150" s="95"/>
      <c r="R150" s="95"/>
      <c r="S150" s="111"/>
    </row>
    <row r="151" spans="1:24" s="31" customFormat="1" x14ac:dyDescent="0.2">
      <c r="A151" s="36"/>
      <c r="B151" s="66" t="str">
        <f>'Expenses Summary'!B106</f>
        <v>7000</v>
      </c>
      <c r="C151" s="66" t="str">
        <f>'Expenses Summary'!C106</f>
        <v>Miscellaneous Expense</v>
      </c>
      <c r="D151" s="112">
        <f>'Cash Flow %s Yr4'!D151</f>
        <v>0.05</v>
      </c>
      <c r="E151" s="112">
        <f>'Cash Flow %s Yr4'!E151</f>
        <v>0.05</v>
      </c>
      <c r="F151" s="112">
        <f>'Cash Flow %s Yr4'!F151</f>
        <v>0.09</v>
      </c>
      <c r="G151" s="112">
        <f>'Cash Flow %s Yr4'!G151</f>
        <v>0.09</v>
      </c>
      <c r="H151" s="112">
        <f>'Cash Flow %s Yr4'!H151</f>
        <v>0.09</v>
      </c>
      <c r="I151" s="112">
        <f>'Cash Flow %s Yr4'!I151</f>
        <v>0.09</v>
      </c>
      <c r="J151" s="112">
        <f>'Cash Flow %s Yr4'!J151</f>
        <v>0.09</v>
      </c>
      <c r="K151" s="112">
        <f>'Cash Flow %s Yr4'!K151</f>
        <v>0.09</v>
      </c>
      <c r="L151" s="112">
        <f>'Cash Flow %s Yr4'!L151</f>
        <v>0.09</v>
      </c>
      <c r="M151" s="112">
        <f>'Cash Flow %s Yr4'!M151</f>
        <v>0.09</v>
      </c>
      <c r="N151" s="112">
        <f>'Cash Flow %s Yr4'!N151</f>
        <v>0.09</v>
      </c>
      <c r="O151" s="112">
        <f>'Cash Flow %s Yr4'!O151</f>
        <v>0.09</v>
      </c>
      <c r="P151" s="112">
        <f>'Cash Flow %s Yr4'!P151</f>
        <v>0</v>
      </c>
      <c r="Q151" s="112">
        <f>'Cash Flow %s Yr4'!Q151</f>
        <v>0</v>
      </c>
      <c r="R151" s="112">
        <f>'Cash Flow %s Yr4'!R151</f>
        <v>0</v>
      </c>
      <c r="S151" s="111">
        <f>SUM(D151:R151)</f>
        <v>0.99999999999999978</v>
      </c>
    </row>
    <row r="152" spans="1:24" s="31" customFormat="1" x14ac:dyDescent="0.2">
      <c r="A152" s="36"/>
      <c r="B152" s="66" t="str">
        <f>'Expenses Summary'!B107</f>
        <v>7010</v>
      </c>
      <c r="C152" s="66" t="str">
        <f>'Expenses Summary'!C107</f>
        <v>Special Education Encroachment</v>
      </c>
      <c r="D152" s="112">
        <f>'Cash Flow %s Yr4'!D152</f>
        <v>0</v>
      </c>
      <c r="E152" s="112">
        <f>'Cash Flow %s Yr4'!E152</f>
        <v>0</v>
      </c>
      <c r="F152" s="112">
        <f>'Cash Flow %s Yr4'!F152</f>
        <v>0</v>
      </c>
      <c r="G152" s="112">
        <f>'Cash Flow %s Yr4'!G152</f>
        <v>0</v>
      </c>
      <c r="H152" s="112">
        <f>'Cash Flow %s Yr4'!H152</f>
        <v>0</v>
      </c>
      <c r="I152" s="112">
        <f>'Cash Flow %s Yr4'!I152</f>
        <v>0</v>
      </c>
      <c r="J152" s="112">
        <f>'Cash Flow %s Yr4'!J152</f>
        <v>0</v>
      </c>
      <c r="K152" s="112">
        <f>'Cash Flow %s Yr4'!K152</f>
        <v>0</v>
      </c>
      <c r="L152" s="112">
        <f>'Cash Flow %s Yr4'!L152</f>
        <v>0</v>
      </c>
      <c r="M152" s="112">
        <f>'Cash Flow %s Yr4'!M152</f>
        <v>0</v>
      </c>
      <c r="N152" s="112">
        <f>'Cash Flow %s Yr4'!N152</f>
        <v>0</v>
      </c>
      <c r="O152" s="112">
        <f>'Cash Flow %s Yr4'!O152</f>
        <v>1</v>
      </c>
      <c r="P152" s="112">
        <f>'Cash Flow %s Yr4'!P152</f>
        <v>0</v>
      </c>
      <c r="Q152" s="112">
        <f>'Cash Flow %s Yr4'!Q152</f>
        <v>0</v>
      </c>
      <c r="R152" s="112">
        <f>'Cash Flow %s Yr4'!R152</f>
        <v>0</v>
      </c>
      <c r="S152" s="111">
        <f>SUM(D152:R152)</f>
        <v>1</v>
      </c>
    </row>
    <row r="153" spans="1:24" s="31" customFormat="1" x14ac:dyDescent="0.2">
      <c r="A153" s="36"/>
      <c r="B153" s="66" t="str">
        <f>'Expenses Summary'!B108</f>
        <v>7438</v>
      </c>
      <c r="C153" s="66" t="str">
        <f>'Expenses Summary'!C108</f>
        <v xml:space="preserve">Debt </v>
      </c>
      <c r="D153" s="112">
        <f>'Cash Flow %s Yr4'!D153</f>
        <v>0</v>
      </c>
      <c r="E153" s="112">
        <f>'Cash Flow %s Yr4'!E153</f>
        <v>0</v>
      </c>
      <c r="F153" s="112">
        <f>'Cash Flow %s Yr4'!F153</f>
        <v>0</v>
      </c>
      <c r="G153" s="112">
        <f>'Cash Flow %s Yr4'!G153</f>
        <v>0</v>
      </c>
      <c r="H153" s="112">
        <f>'Cash Flow %s Yr4'!H153</f>
        <v>0</v>
      </c>
      <c r="I153" s="112">
        <f>'Cash Flow %s Yr4'!I153</f>
        <v>0</v>
      </c>
      <c r="J153" s="112">
        <f>'Cash Flow %s Yr4'!J153</f>
        <v>0</v>
      </c>
      <c r="K153" s="112">
        <f>'Cash Flow %s Yr4'!K153</f>
        <v>0</v>
      </c>
      <c r="L153" s="112">
        <f>'Cash Flow %s Yr4'!L153</f>
        <v>0</v>
      </c>
      <c r="M153" s="112">
        <f>'Cash Flow %s Yr4'!M153</f>
        <v>0</v>
      </c>
      <c r="N153" s="112">
        <f>'Cash Flow %s Yr4'!N153</f>
        <v>0</v>
      </c>
      <c r="O153" s="112">
        <f>'Cash Flow %s Yr4'!O153</f>
        <v>1</v>
      </c>
      <c r="P153" s="112">
        <f>'Cash Flow %s Yr4'!P153</f>
        <v>0</v>
      </c>
      <c r="Q153" s="112">
        <f>'Cash Flow %s Yr4'!Q153</f>
        <v>0</v>
      </c>
      <c r="R153" s="112">
        <f>'Cash Flow %s Yr4'!R153</f>
        <v>0</v>
      </c>
      <c r="S153" s="111">
        <f>SUM(D153:R153)</f>
        <v>1</v>
      </c>
    </row>
    <row r="154" spans="1:24" s="31" customFormat="1" x14ac:dyDescent="0.2">
      <c r="A154" s="36"/>
      <c r="B154" s="66" t="str">
        <f>'Expenses Summary'!B109</f>
        <v>7500</v>
      </c>
      <c r="C154" s="66" t="str">
        <f>'Expenses Summary'!C109</f>
        <v>District Oversight Fee</v>
      </c>
      <c r="D154" s="112">
        <f>'Cash Flow %s Yr4'!D154</f>
        <v>0</v>
      </c>
      <c r="E154" s="112">
        <f>'Cash Flow %s Yr4'!E154</f>
        <v>0</v>
      </c>
      <c r="F154" s="112">
        <f>'Cash Flow %s Yr4'!F154</f>
        <v>0</v>
      </c>
      <c r="G154" s="112">
        <f>'Cash Flow %s Yr4'!G154</f>
        <v>0</v>
      </c>
      <c r="H154" s="112">
        <f>'Cash Flow %s Yr4'!H154</f>
        <v>0</v>
      </c>
      <c r="I154" s="112">
        <f>'Cash Flow %s Yr4'!I154</f>
        <v>0</v>
      </c>
      <c r="J154" s="112">
        <f>'Cash Flow %s Yr4'!J154</f>
        <v>0</v>
      </c>
      <c r="K154" s="112">
        <f>'Cash Flow %s Yr4'!K154</f>
        <v>0</v>
      </c>
      <c r="L154" s="112">
        <f>'Cash Flow %s Yr4'!L154</f>
        <v>0</v>
      </c>
      <c r="M154" s="112">
        <f>'Cash Flow %s Yr4'!M154</f>
        <v>0</v>
      </c>
      <c r="N154" s="112">
        <f>'Cash Flow %s Yr4'!N154</f>
        <v>0</v>
      </c>
      <c r="O154" s="112">
        <f>'Cash Flow %s Yr4'!O154</f>
        <v>1</v>
      </c>
      <c r="P154" s="112">
        <f>'Cash Flow %s Yr4'!P154</f>
        <v>0</v>
      </c>
      <c r="Q154" s="112">
        <f>'Cash Flow %s Yr4'!Q154</f>
        <v>0</v>
      </c>
      <c r="R154" s="112">
        <f>'Cash Flow %s Yr4'!R154</f>
        <v>0</v>
      </c>
      <c r="S154" s="111">
        <f>SUM(D154:R154)</f>
        <v>1</v>
      </c>
    </row>
    <row r="155" spans="1:24" s="31" customFormat="1" x14ac:dyDescent="0.2">
      <c r="A155" s="36"/>
      <c r="B155" s="40"/>
      <c r="C155" s="1"/>
      <c r="D155" s="105"/>
      <c r="E155" s="105"/>
      <c r="F155" s="105"/>
      <c r="G155" s="105"/>
      <c r="H155" s="105"/>
      <c r="I155" s="105"/>
      <c r="J155" s="105"/>
      <c r="K155" s="105"/>
      <c r="L155" s="105"/>
      <c r="M155" s="105"/>
      <c r="N155" s="105"/>
      <c r="O155" s="105"/>
      <c r="P155" s="105"/>
      <c r="Q155" s="105"/>
      <c r="R155" s="105"/>
      <c r="S155" s="111"/>
    </row>
    <row r="156" spans="1:24" s="31" customFormat="1" x14ac:dyDescent="0.2">
      <c r="A156" s="36"/>
      <c r="B156" s="40"/>
      <c r="C156" s="1"/>
      <c r="D156" s="95"/>
      <c r="E156" s="95"/>
      <c r="F156" s="95"/>
      <c r="G156" s="95"/>
      <c r="H156" s="95"/>
      <c r="I156" s="95"/>
      <c r="J156" s="95"/>
      <c r="K156" s="95"/>
      <c r="L156" s="95"/>
      <c r="M156" s="95"/>
      <c r="N156" s="95"/>
      <c r="O156" s="95"/>
      <c r="P156" s="95"/>
      <c r="Q156" s="95"/>
      <c r="R156" s="95"/>
      <c r="S156" s="111"/>
      <c r="T156" s="154"/>
    </row>
    <row r="157" spans="1:24" s="31" customFormat="1" x14ac:dyDescent="0.2">
      <c r="A157" s="36"/>
      <c r="B157" s="34" t="s">
        <v>824</v>
      </c>
      <c r="C157" s="3"/>
      <c r="D157" s="95"/>
      <c r="E157" s="104"/>
      <c r="F157" s="104"/>
      <c r="G157" s="95"/>
      <c r="H157" s="95"/>
      <c r="I157" s="95"/>
      <c r="J157" s="95"/>
      <c r="K157" s="95"/>
      <c r="L157" s="95"/>
      <c r="M157" s="95"/>
      <c r="N157" s="95"/>
      <c r="O157" s="95"/>
      <c r="P157" s="95"/>
      <c r="Q157" s="95"/>
      <c r="R157" s="95"/>
      <c r="S157" s="111"/>
    </row>
    <row r="158" spans="1:24" s="31" customFormat="1" x14ac:dyDescent="0.2">
      <c r="A158" s="36"/>
      <c r="B158" s="66"/>
      <c r="C158" s="135" t="s">
        <v>825</v>
      </c>
      <c r="D158" s="112">
        <f>'Cash Flow %s Yr4'!D158</f>
        <v>1</v>
      </c>
      <c r="E158" s="112">
        <f>'Cash Flow %s Yr4'!E158</f>
        <v>0</v>
      </c>
      <c r="F158" s="112">
        <f>'Cash Flow %s Yr4'!F158</f>
        <v>0</v>
      </c>
      <c r="G158" s="112">
        <f>'Cash Flow %s Yr4'!G158</f>
        <v>0</v>
      </c>
      <c r="H158" s="112">
        <f>'Cash Flow %s Yr4'!H158</f>
        <v>0</v>
      </c>
      <c r="I158" s="112">
        <f>'Cash Flow %s Yr4'!I158</f>
        <v>0</v>
      </c>
      <c r="J158" s="112">
        <f>'Cash Flow %s Yr4'!J158</f>
        <v>0</v>
      </c>
      <c r="K158" s="112">
        <f>'Cash Flow %s Yr4'!K158</f>
        <v>0</v>
      </c>
      <c r="L158" s="112">
        <f>'Cash Flow %s Yr4'!L158</f>
        <v>0</v>
      </c>
      <c r="M158" s="112">
        <f>'Cash Flow %s Yr4'!M158</f>
        <v>0</v>
      </c>
      <c r="N158" s="112">
        <f>'Cash Flow %s Yr4'!N158</f>
        <v>0</v>
      </c>
      <c r="O158" s="112">
        <f>'Cash Flow %s Yr4'!O158</f>
        <v>0</v>
      </c>
      <c r="P158" s="112">
        <f>'Cash Flow %s Yr4'!P158</f>
        <v>0</v>
      </c>
      <c r="Q158" s="112">
        <f>'Cash Flow %s Yr4'!Q158</f>
        <v>0</v>
      </c>
      <c r="R158" s="112">
        <f>'Cash Flow %s Yr4'!R158</f>
        <v>0</v>
      </c>
      <c r="S158" s="111">
        <f>SUM(D158:R158)</f>
        <v>1</v>
      </c>
      <c r="T158" s="149"/>
      <c r="U158" s="149"/>
      <c r="V158" s="149"/>
      <c r="W158" s="149"/>
      <c r="X158" s="149"/>
    </row>
    <row r="159" spans="1:24" s="31" customFormat="1" x14ac:dyDescent="0.2">
      <c r="A159" s="36"/>
      <c r="B159" s="66"/>
      <c r="C159" s="135" t="s">
        <v>826</v>
      </c>
      <c r="D159" s="112">
        <f>'Cash Flow %s Yr4'!D159</f>
        <v>0.6</v>
      </c>
      <c r="E159" s="112">
        <f>'Cash Flow %s Yr4'!E159</f>
        <v>0.25</v>
      </c>
      <c r="F159" s="112">
        <f>'Cash Flow %s Yr4'!F159</f>
        <v>0.1</v>
      </c>
      <c r="G159" s="112">
        <f>'Cash Flow %s Yr4'!G159</f>
        <v>0</v>
      </c>
      <c r="H159" s="112">
        <f>'Cash Flow %s Yr4'!H159</f>
        <v>0</v>
      </c>
      <c r="I159" s="112">
        <f>'Cash Flow %s Yr4'!I159</f>
        <v>0</v>
      </c>
      <c r="J159" s="112">
        <f>'Cash Flow %s Yr4'!J159</f>
        <v>0</v>
      </c>
      <c r="K159" s="112">
        <f>'Cash Flow %s Yr4'!K159</f>
        <v>0</v>
      </c>
      <c r="L159" s="112">
        <f>'Cash Flow %s Yr4'!L159</f>
        <v>0</v>
      </c>
      <c r="M159" s="112">
        <f>'Cash Flow %s Yr4'!M159</f>
        <v>0</v>
      </c>
      <c r="N159" s="112">
        <f>'Cash Flow %s Yr4'!N159</f>
        <v>0</v>
      </c>
      <c r="O159" s="112">
        <f>'Cash Flow %s Yr4'!O159</f>
        <v>0</v>
      </c>
      <c r="P159" s="112">
        <f>'Cash Flow %s Yr4'!P159</f>
        <v>0</v>
      </c>
      <c r="Q159" s="112">
        <f>'Cash Flow %s Yr4'!Q159</f>
        <v>0</v>
      </c>
      <c r="R159" s="112">
        <f>'Cash Flow %s Yr4'!R159</f>
        <v>0</v>
      </c>
      <c r="S159" s="111">
        <f>SUM(D159:R159)</f>
        <v>0.95</v>
      </c>
      <c r="T159" s="149"/>
      <c r="U159" s="149"/>
      <c r="V159" s="149"/>
      <c r="W159" s="149"/>
      <c r="X159" s="149"/>
    </row>
    <row r="160" spans="1:24" s="31" customFormat="1" x14ac:dyDescent="0.2">
      <c r="A160" s="36"/>
      <c r="B160" s="66"/>
      <c r="C160" s="135" t="s">
        <v>827</v>
      </c>
      <c r="D160" s="112">
        <f>'Cash Flow %s Yr4'!D160</f>
        <v>0.5</v>
      </c>
      <c r="E160" s="112">
        <f>'Cash Flow %s Yr4'!E160</f>
        <v>0.2</v>
      </c>
      <c r="F160" s="112">
        <f>'Cash Flow %s Yr4'!F160</f>
        <v>0</v>
      </c>
      <c r="G160" s="112">
        <f>'Cash Flow %s Yr4'!G160</f>
        <v>0</v>
      </c>
      <c r="H160" s="112">
        <f>'Cash Flow %s Yr4'!H160</f>
        <v>0</v>
      </c>
      <c r="I160" s="112">
        <f>'Cash Flow %s Yr4'!I160</f>
        <v>0</v>
      </c>
      <c r="J160" s="112">
        <f>'Cash Flow %s Yr4'!J160</f>
        <v>0</v>
      </c>
      <c r="K160" s="112">
        <f>'Cash Flow %s Yr4'!K160</f>
        <v>0</v>
      </c>
      <c r="L160" s="112">
        <f>'Cash Flow %s Yr4'!L160</f>
        <v>0</v>
      </c>
      <c r="M160" s="112">
        <f>'Cash Flow %s Yr4'!M160</f>
        <v>0</v>
      </c>
      <c r="N160" s="112">
        <f>'Cash Flow %s Yr4'!N160</f>
        <v>0</v>
      </c>
      <c r="O160" s="112">
        <f>'Cash Flow %s Yr4'!O160</f>
        <v>0</v>
      </c>
      <c r="P160" s="112">
        <f>'Cash Flow %s Yr4'!P160</f>
        <v>0</v>
      </c>
      <c r="Q160" s="112">
        <f>'Cash Flow %s Yr4'!Q160</f>
        <v>0</v>
      </c>
      <c r="R160" s="112">
        <f>'Cash Flow %s Yr4'!R160</f>
        <v>0</v>
      </c>
      <c r="S160" s="111">
        <f>SUM(D160:R160)</f>
        <v>0.7</v>
      </c>
      <c r="T160" s="149"/>
      <c r="U160" s="149"/>
      <c r="V160" s="149"/>
      <c r="W160" s="149"/>
      <c r="X160" s="149"/>
    </row>
    <row r="161" spans="1:24" s="40" customFormat="1" x14ac:dyDescent="0.2">
      <c r="A161" s="36"/>
      <c r="B161" s="66"/>
      <c r="C161" s="135" t="s">
        <v>828</v>
      </c>
      <c r="D161" s="112">
        <f>'Cash Flow %s Yr4'!D161</f>
        <v>0</v>
      </c>
      <c r="E161" s="112">
        <f>'Cash Flow %s Yr4'!E161</f>
        <v>0</v>
      </c>
      <c r="F161" s="112">
        <f>'Cash Flow %s Yr4'!F161</f>
        <v>0</v>
      </c>
      <c r="G161" s="112">
        <f>'Cash Flow %s Yr4'!G161</f>
        <v>0</v>
      </c>
      <c r="H161" s="112">
        <f>'Cash Flow %s Yr4'!H161</f>
        <v>0</v>
      </c>
      <c r="I161" s="112">
        <f>'Cash Flow %s Yr4'!I161</f>
        <v>0</v>
      </c>
      <c r="J161" s="112">
        <f>'Cash Flow %s Yr4'!J161</f>
        <v>0</v>
      </c>
      <c r="K161" s="112">
        <f>'Cash Flow %s Yr4'!K161</f>
        <v>0</v>
      </c>
      <c r="L161" s="112">
        <f>'Cash Flow %s Yr4'!L161</f>
        <v>0</v>
      </c>
      <c r="M161" s="112">
        <f>'Cash Flow %s Yr4'!M161</f>
        <v>0</v>
      </c>
      <c r="N161" s="112">
        <f>'Cash Flow %s Yr4'!N161</f>
        <v>0</v>
      </c>
      <c r="O161" s="112">
        <f>'Cash Flow %s Yr4'!O161</f>
        <v>1</v>
      </c>
      <c r="P161" s="112">
        <f>'Cash Flow %s Yr4'!P161</f>
        <v>0</v>
      </c>
      <c r="Q161" s="112">
        <f>'Cash Flow %s Yr4'!Q161</f>
        <v>0</v>
      </c>
      <c r="R161" s="112">
        <f>'Cash Flow %s Yr4'!R161</f>
        <v>0</v>
      </c>
      <c r="S161" s="111">
        <f>SUM(D161:R161)</f>
        <v>1</v>
      </c>
      <c r="T161" s="149"/>
      <c r="U161" s="149"/>
      <c r="V161" s="149"/>
      <c r="W161" s="149"/>
      <c r="X161" s="149"/>
    </row>
    <row r="162" spans="1:24" s="40" customFormat="1" x14ac:dyDescent="0.2">
      <c r="A162" s="36"/>
      <c r="C162" s="1"/>
      <c r="D162" s="95"/>
      <c r="E162" s="95"/>
      <c r="F162" s="95"/>
      <c r="G162" s="95"/>
      <c r="H162" s="95"/>
      <c r="I162" s="95"/>
      <c r="J162" s="95"/>
      <c r="K162" s="95"/>
      <c r="L162" s="95"/>
      <c r="M162" s="95"/>
      <c r="N162" s="95"/>
      <c r="O162" s="95"/>
      <c r="P162" s="95"/>
      <c r="Q162" s="95"/>
      <c r="R162" s="95"/>
      <c r="S162" s="182"/>
    </row>
    <row r="163" spans="1:24" s="40" customFormat="1" x14ac:dyDescent="0.2">
      <c r="A163" s="36"/>
      <c r="C163" s="1"/>
      <c r="D163" s="95"/>
      <c r="E163" s="95"/>
      <c r="F163" s="95"/>
      <c r="G163" s="95"/>
      <c r="H163" s="95"/>
      <c r="I163" s="95"/>
      <c r="J163" s="95"/>
      <c r="K163" s="95"/>
      <c r="L163" s="95"/>
      <c r="M163" s="95"/>
      <c r="N163" s="95"/>
      <c r="O163" s="95"/>
      <c r="P163" s="95"/>
      <c r="Q163" s="95"/>
      <c r="R163" s="95"/>
      <c r="S163" s="182"/>
    </row>
    <row r="164" spans="1:24" s="40" customFormat="1" x14ac:dyDescent="0.2">
      <c r="A164" s="36"/>
      <c r="C164" s="1"/>
      <c r="D164" s="95"/>
      <c r="E164" s="95"/>
      <c r="F164" s="95"/>
      <c r="G164" s="95"/>
      <c r="H164" s="95"/>
      <c r="I164" s="95"/>
      <c r="J164" s="95"/>
      <c r="K164" s="95"/>
      <c r="L164" s="95"/>
      <c r="M164" s="95"/>
      <c r="N164" s="95"/>
      <c r="O164" s="95"/>
      <c r="P164" s="95"/>
      <c r="Q164" s="95"/>
      <c r="R164" s="95"/>
      <c r="S164" s="182"/>
    </row>
    <row r="165" spans="1:24" s="40" customFormat="1" x14ac:dyDescent="0.2">
      <c r="A165" s="36"/>
      <c r="C165" s="1"/>
      <c r="D165" s="95"/>
      <c r="E165" s="95"/>
      <c r="F165" s="95"/>
      <c r="G165" s="95"/>
      <c r="H165" s="95"/>
      <c r="I165" s="95"/>
      <c r="J165" s="95"/>
      <c r="K165" s="95"/>
      <c r="L165" s="95"/>
      <c r="M165" s="95"/>
      <c r="N165" s="95"/>
      <c r="O165" s="95"/>
      <c r="P165" s="95"/>
      <c r="Q165" s="95"/>
      <c r="R165" s="95"/>
      <c r="S165" s="182"/>
    </row>
    <row r="166" spans="1:24" s="40" customFormat="1" x14ac:dyDescent="0.2">
      <c r="A166" s="36"/>
      <c r="C166" s="1"/>
      <c r="D166" s="95"/>
      <c r="E166" s="95"/>
      <c r="F166" s="95"/>
      <c r="G166" s="95"/>
      <c r="H166" s="95"/>
      <c r="I166" s="95"/>
      <c r="J166" s="95"/>
      <c r="K166" s="95"/>
      <c r="L166" s="95"/>
      <c r="M166" s="95"/>
      <c r="N166" s="95"/>
      <c r="O166" s="95"/>
      <c r="P166" s="95"/>
      <c r="Q166" s="95"/>
      <c r="R166" s="95"/>
      <c r="S166" s="182"/>
    </row>
    <row r="167" spans="1:24" s="40" customFormat="1" x14ac:dyDescent="0.2">
      <c r="A167" s="36"/>
      <c r="C167" s="1"/>
      <c r="D167" s="95"/>
      <c r="E167" s="95"/>
      <c r="F167" s="95"/>
      <c r="G167" s="95"/>
      <c r="H167" s="95"/>
      <c r="I167" s="95"/>
      <c r="J167" s="95"/>
      <c r="K167" s="95"/>
      <c r="L167" s="95"/>
      <c r="M167" s="95"/>
      <c r="N167" s="95"/>
      <c r="O167" s="95"/>
      <c r="P167" s="95"/>
      <c r="Q167" s="95"/>
      <c r="R167" s="95"/>
      <c r="S167" s="182"/>
    </row>
    <row r="168" spans="1:24" s="40" customFormat="1" x14ac:dyDescent="0.2">
      <c r="A168" s="36"/>
      <c r="C168" s="1"/>
      <c r="D168" s="95"/>
      <c r="E168" s="95"/>
      <c r="F168" s="95"/>
      <c r="G168" s="95"/>
      <c r="H168" s="95"/>
      <c r="I168" s="95"/>
      <c r="J168" s="95"/>
      <c r="K168" s="95"/>
      <c r="L168" s="95"/>
      <c r="M168" s="95"/>
      <c r="N168" s="95"/>
      <c r="O168" s="95"/>
      <c r="P168" s="95"/>
      <c r="Q168" s="95"/>
      <c r="R168" s="95"/>
      <c r="S168" s="182"/>
    </row>
    <row r="169" spans="1:24" s="40" customFormat="1" x14ac:dyDescent="0.2">
      <c r="A169" s="36"/>
      <c r="C169" s="1"/>
      <c r="D169" s="95"/>
      <c r="E169" s="95"/>
      <c r="F169" s="95"/>
      <c r="G169" s="95"/>
      <c r="H169" s="95"/>
      <c r="I169" s="95"/>
      <c r="J169" s="95"/>
      <c r="K169" s="95"/>
      <c r="L169" s="95"/>
      <c r="M169" s="95"/>
      <c r="N169" s="95"/>
      <c r="O169" s="95"/>
      <c r="P169" s="95"/>
      <c r="Q169" s="95"/>
      <c r="R169" s="95"/>
      <c r="S169" s="182"/>
    </row>
    <row r="170" spans="1:24" x14ac:dyDescent="0.2">
      <c r="S170" s="182"/>
    </row>
    <row r="171" spans="1:24" x14ac:dyDescent="0.2">
      <c r="S171" s="182"/>
    </row>
    <row r="172" spans="1:24" x14ac:dyDescent="0.2">
      <c r="S172" s="182"/>
    </row>
    <row r="173" spans="1:24" x14ac:dyDescent="0.2">
      <c r="S173" s="182"/>
    </row>
  </sheetData>
  <pageMargins left="0.25" right="0.25" top="0.5" bottom="0.5" header="0.25" footer="0.25"/>
  <pageSetup scale="58" fitToHeight="3" orientation="landscape" r:id="rId1"/>
  <headerFooter alignWithMargins="0">
    <oddHeader>&amp;A</oddHeader>
    <oddFooter>Page &amp;P</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pageSetUpPr fitToPage="1"/>
  </sheetPr>
  <dimension ref="A1:S172"/>
  <sheetViews>
    <sheetView workbookViewId="0">
      <pane xSplit="3" ySplit="6" topLeftCell="D54" activePane="bottomRight" state="frozen"/>
      <selection activeCell="C22" sqref="C22"/>
      <selection pane="topRight" activeCell="C22" sqref="C22"/>
      <selection pane="bottomLeft" activeCell="C22" sqref="C22"/>
      <selection pane="bottomRight" activeCell="C22" sqref="C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12.5" style="95" customWidth="1"/>
    <col min="19" max="19" width="10.33203125" style="1" bestFit="1" customWidth="1"/>
    <col min="20"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19" ht="20" x14ac:dyDescent="0.2">
      <c r="A1" s="22" t="str">
        <f>'Student Info'!$A$1</f>
        <v>Three Rivers Charter School</v>
      </c>
    </row>
    <row r="2" spans="1:19" ht="18" x14ac:dyDescent="0.2">
      <c r="A2" s="21" t="s">
        <v>820</v>
      </c>
    </row>
    <row r="3" spans="1:19" ht="18" x14ac:dyDescent="0.2">
      <c r="A3" s="21" t="str">
        <f>'Student Info'!H7</f>
        <v>2019-20</v>
      </c>
    </row>
    <row r="5" spans="1:19" ht="18" x14ac:dyDescent="0.2">
      <c r="A5" s="29"/>
      <c r="B5" s="41"/>
      <c r="C5" s="29"/>
      <c r="D5" s="96"/>
      <c r="E5" s="96"/>
      <c r="F5" s="96"/>
      <c r="G5" s="96"/>
      <c r="H5" s="96"/>
      <c r="I5" s="96"/>
      <c r="J5" s="96"/>
      <c r="K5" s="96"/>
      <c r="L5" s="96"/>
      <c r="M5" s="96"/>
      <c r="N5" s="96"/>
      <c r="O5" s="96"/>
      <c r="P5" s="96"/>
      <c r="Q5" s="96"/>
      <c r="R5" s="96"/>
    </row>
    <row r="6" spans="1:19"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19" ht="18" x14ac:dyDescent="0.2">
      <c r="A7" s="47" t="s">
        <v>794</v>
      </c>
      <c r="B7" s="87"/>
      <c r="D7" s="31"/>
      <c r="F7" s="97"/>
      <c r="G7" s="97"/>
      <c r="H7" s="97"/>
      <c r="I7" s="31"/>
      <c r="J7" s="31"/>
      <c r="K7" s="97"/>
      <c r="L7" s="97"/>
      <c r="M7" s="97"/>
      <c r="N7" s="97"/>
      <c r="O7" s="97"/>
      <c r="P7" s="97"/>
      <c r="Q7" s="97"/>
      <c r="R7" s="97"/>
    </row>
    <row r="8" spans="1:19" ht="18" hidden="1" x14ac:dyDescent="0.2">
      <c r="A8" s="47"/>
      <c r="B8" s="87"/>
      <c r="C8" s="125" t="s">
        <v>821</v>
      </c>
      <c r="D8" s="110"/>
      <c r="F8" s="97"/>
      <c r="G8" s="97"/>
      <c r="H8" s="97"/>
      <c r="I8" s="31"/>
      <c r="J8" s="31"/>
      <c r="K8" s="97"/>
      <c r="L8" s="97"/>
      <c r="M8" s="97"/>
      <c r="N8" s="97"/>
      <c r="O8" s="97"/>
      <c r="P8" s="97"/>
      <c r="Q8" s="97"/>
      <c r="R8" s="97"/>
    </row>
    <row r="9" spans="1:19" ht="18" hidden="1" x14ac:dyDescent="0.2">
      <c r="A9" s="47"/>
      <c r="B9" s="87"/>
      <c r="C9" s="89"/>
      <c r="D9" s="99"/>
      <c r="E9" s="114"/>
      <c r="F9" s="114"/>
      <c r="G9" s="114"/>
      <c r="H9" s="114"/>
      <c r="I9" s="114"/>
      <c r="J9" s="114"/>
      <c r="K9" s="114"/>
      <c r="L9" s="115"/>
      <c r="M9" s="114"/>
      <c r="N9" s="114"/>
      <c r="O9" s="115"/>
      <c r="P9" s="114"/>
      <c r="Q9" s="112"/>
      <c r="R9" s="112"/>
      <c r="S9" s="111"/>
    </row>
    <row r="10" spans="1:19" ht="18" hidden="1" x14ac:dyDescent="0.2">
      <c r="A10" s="47"/>
      <c r="B10" s="87"/>
      <c r="C10" s="89"/>
      <c r="D10" s="99"/>
      <c r="E10" s="116"/>
      <c r="F10" s="116"/>
      <c r="G10" s="114"/>
      <c r="H10" s="116"/>
      <c r="I10" s="116"/>
      <c r="J10" s="114"/>
      <c r="K10" s="116"/>
      <c r="L10" s="115"/>
      <c r="M10" s="117"/>
      <c r="N10" s="117"/>
      <c r="O10" s="117"/>
      <c r="P10" s="118"/>
      <c r="Q10" s="99"/>
      <c r="R10" s="112"/>
      <c r="S10" s="111"/>
    </row>
    <row r="11" spans="1:19" s="31" customFormat="1" ht="18" x14ac:dyDescent="0.2">
      <c r="B11" s="70" t="s">
        <v>779</v>
      </c>
      <c r="C11" s="49"/>
      <c r="D11" s="98"/>
      <c r="E11" s="98"/>
      <c r="F11" s="98"/>
      <c r="G11" s="98"/>
      <c r="H11" s="98"/>
      <c r="I11" s="98"/>
      <c r="J11" s="98"/>
      <c r="K11" s="98"/>
      <c r="L11" s="98"/>
      <c r="M11" s="98"/>
      <c r="N11" s="98"/>
      <c r="O11" s="98"/>
      <c r="P11" s="98"/>
      <c r="Q11" s="98"/>
      <c r="R11" s="98"/>
    </row>
    <row r="12" spans="1:19" s="31" customFormat="1" x14ac:dyDescent="0.2">
      <c r="A12" s="50"/>
      <c r="B12" s="65" t="str">
        <f>'Revenue Input'!B8</f>
        <v>8011</v>
      </c>
      <c r="C12" s="65" t="str">
        <f>'Revenue Input'!C8</f>
        <v>LCFF for all grades; state aid portion</v>
      </c>
      <c r="D12" s="64">
        <f>IF('Revenue Input'!$H8="","",IF('Cash Flow %s Yr5'!D12="","",'Cash Flow %s Yr5'!D12*'Revenue Input'!$H8))</f>
        <v>0</v>
      </c>
      <c r="E12" s="64">
        <f>IF('Revenue Input'!$H8="","",IF('Cash Flow %s Yr5'!E12="","",'Cash Flow %s Yr5'!E12*'Revenue Input'!$H8))</f>
        <v>35634.801294676996</v>
      </c>
      <c r="F12" s="64">
        <f>IF('Revenue Input'!$H8="","",IF('Cash Flow %s Yr5'!F12="","",'Cash Flow %s Yr5'!F12*'Revenue Input'!$H8))</f>
        <v>35634.801294676996</v>
      </c>
      <c r="G12" s="64">
        <f>IF('Revenue Input'!$H8="","",IF('Cash Flow %s Yr5'!G12="","",'Cash Flow %s Yr5'!G12*'Revenue Input'!$H8))</f>
        <v>64142.642330418588</v>
      </c>
      <c r="H12" s="64">
        <f>IF('Revenue Input'!$H8="","",IF('Cash Flow %s Yr5'!H12="","",'Cash Flow %s Yr5'!H12*'Revenue Input'!$H8))</f>
        <v>64142.642330418588</v>
      </c>
      <c r="I12" s="64">
        <f>IF('Revenue Input'!$H8="","",IF('Cash Flow %s Yr5'!I12="","",'Cash Flow %s Yr5'!I12*'Revenue Input'!$H8))</f>
        <v>64142.642330418588</v>
      </c>
      <c r="J12" s="64">
        <f>IF('Revenue Input'!$H8="","",IF('Cash Flow %s Yr5'!J12="","",'Cash Flow %s Yr5'!J12*'Revenue Input'!$H8))</f>
        <v>64142.642330418588</v>
      </c>
      <c r="K12" s="64">
        <f>IF('Revenue Input'!$H8="","",IF('Cash Flow %s Yr5'!K12="","",'Cash Flow %s Yr5'!K12*'Revenue Input'!$H8))</f>
        <v>64142.642330418588</v>
      </c>
      <c r="L12" s="64">
        <f>IF('Revenue Input'!$H8="","",IF('Cash Flow %s Yr5'!L12="","",'Cash Flow %s Yr5'!L12*'Revenue Input'!$H8))</f>
        <v>64142.642330418588</v>
      </c>
      <c r="M12" s="64">
        <f>IF('Revenue Input'!$H8="","",IF('Cash Flow %s Yr5'!M12="","",'Cash Flow %s Yr5'!M12*'Revenue Input'!$H8))</f>
        <v>64142.642330418588</v>
      </c>
      <c r="N12" s="64">
        <f>IF('Revenue Input'!$H8="","",IF('Cash Flow %s Yr5'!N12="","",'Cash Flow %s Yr5'!N12*'Revenue Input'!$H8))</f>
        <v>64142.642330418588</v>
      </c>
      <c r="O12" s="64">
        <f>IF('Revenue Input'!$H8="","",IF('Cash Flow %s Yr5'!O12="","",'Cash Flow %s Yr5'!O12*'Revenue Input'!$H8))</f>
        <v>64142.642330418588</v>
      </c>
      <c r="P12" s="64">
        <f>IF('Revenue Input'!$H8="","",IF('Cash Flow %s Yr5'!P12="","",'Cash Flow %s Yr5'!P12*'Revenue Input'!$H8))</f>
        <v>64142.642330418588</v>
      </c>
      <c r="Q12" s="64">
        <f>IF('Revenue Input'!$H8="","",IF('Cash Flow %s Yr5'!Q12="","",'Cash Flow %s Yr5'!Q12*'Revenue Input'!$H8))</f>
        <v>0</v>
      </c>
      <c r="R12" s="64">
        <f>IF('Revenue Input'!$H8="","",IF('Cash Flow %s Yr5'!R12="","",'Cash Flow %s Yr5'!R12*'Revenue Input'!$H8))</f>
        <v>0</v>
      </c>
      <c r="S12" s="111">
        <f>IF(SUM(D12:R12)&gt;0,SUM(D12:R12)/'Revenue Input'!$H8,"")</f>
        <v>0.99999999999999989</v>
      </c>
    </row>
    <row r="13" spans="1:19" s="31" customFormat="1" x14ac:dyDescent="0.2">
      <c r="A13" s="50"/>
      <c r="B13" s="65" t="str">
        <f>'Revenue Input'!B9</f>
        <v>8012</v>
      </c>
      <c r="C13" s="65" t="str">
        <f>'Revenue Input'!C9</f>
        <v>LCFF for all grades; EPA portion</v>
      </c>
      <c r="D13" s="64">
        <f>IF('Revenue Input'!$H9="","",IF('Cash Flow %s Yr5'!D13="","",'Cash Flow %s Yr5'!D13*'Revenue Input'!$H9))</f>
        <v>0</v>
      </c>
      <c r="E13" s="64">
        <f>IF('Revenue Input'!$H9="","",IF('Cash Flow %s Yr5'!E13="","",'Cash Flow %s Yr5'!E13*'Revenue Input'!$H9))</f>
        <v>0</v>
      </c>
      <c r="F13" s="64">
        <f>IF('Revenue Input'!$H9="","",IF('Cash Flow %s Yr5'!F13="","",'Cash Flow %s Yr5'!F13*'Revenue Input'!$H9))</f>
        <v>0</v>
      </c>
      <c r="G13" s="64">
        <f>IF('Revenue Input'!$H9="","",IF('Cash Flow %s Yr5'!G13="","",'Cash Flow %s Yr5'!G13*'Revenue Input'!$H9))</f>
        <v>0</v>
      </c>
      <c r="H13" s="64">
        <f>IF('Revenue Input'!$H9="","",IF('Cash Flow %s Yr5'!H13="","",'Cash Flow %s Yr5'!H13*'Revenue Input'!$H9))</f>
        <v>0</v>
      </c>
      <c r="I13" s="64">
        <f>IF('Revenue Input'!$H9="","",IF('Cash Flow %s Yr5'!I13="","",'Cash Flow %s Yr5'!I13*'Revenue Input'!$H9))</f>
        <v>0</v>
      </c>
      <c r="J13" s="64">
        <f>IF('Revenue Input'!$H9="","",IF('Cash Flow %s Yr5'!J13="","",'Cash Flow %s Yr5'!J13*'Revenue Input'!$H9))</f>
        <v>0</v>
      </c>
      <c r="K13" s="64">
        <f>IF('Revenue Input'!$H9="","",IF('Cash Flow %s Yr5'!K13="","",'Cash Flow %s Yr5'!K13*'Revenue Input'!$H9))</f>
        <v>0</v>
      </c>
      <c r="L13" s="64">
        <f>IF('Revenue Input'!$H9="","",IF('Cash Flow %s Yr5'!L13="","",'Cash Flow %s Yr5'!L13*'Revenue Input'!$H9))</f>
        <v>0</v>
      </c>
      <c r="M13" s="64">
        <f>IF('Revenue Input'!$H9="","",IF('Cash Flow %s Yr5'!M13="","",'Cash Flow %s Yr5'!M13*'Revenue Input'!$H9))</f>
        <v>0</v>
      </c>
      <c r="N13" s="64">
        <f>IF('Revenue Input'!$H9="","",IF('Cash Flow %s Yr5'!N13="","",'Cash Flow %s Yr5'!N13*'Revenue Input'!$H9))</f>
        <v>0</v>
      </c>
      <c r="O13" s="64">
        <f>IF('Revenue Input'!$H9="","",IF('Cash Flow %s Yr5'!O13="","",'Cash Flow %s Yr5'!O13*'Revenue Input'!$H9))</f>
        <v>0</v>
      </c>
      <c r="P13" s="64">
        <f>IF('Revenue Input'!$H9="","",IF('Cash Flow %s Yr5'!P13="","",'Cash Flow %s Yr5'!P13*'Revenue Input'!$H9))</f>
        <v>0</v>
      </c>
      <c r="Q13" s="64">
        <f>IF('Revenue Input'!$H9="","",IF('Cash Flow %s Yr5'!Q13="","",'Cash Flow %s Yr5'!Q13*'Revenue Input'!$H9))</f>
        <v>0</v>
      </c>
      <c r="R13" s="64">
        <f>IF('Revenue Input'!$H9="","",IF('Cash Flow %s Yr5'!R13="","",'Cash Flow %s Yr5'!R13*'Revenue Input'!$H9))</f>
        <v>0</v>
      </c>
      <c r="S13" s="111" t="str">
        <f>IF(SUM(D13:R13)&gt;0,SUM(D13:R13)/'Revenue Input'!$H9,"")</f>
        <v/>
      </c>
    </row>
    <row r="14" spans="1:19" s="31" customFormat="1" x14ac:dyDescent="0.2">
      <c r="A14" s="50"/>
      <c r="B14" s="65" t="str">
        <f>'Revenue Input'!B10</f>
        <v>8096</v>
      </c>
      <c r="C14" s="65" t="str">
        <f>'Revenue Input'!C10</f>
        <v>In-Lieu of Property Taxes, all grades</v>
      </c>
      <c r="D14" s="64">
        <f>IF('Revenue Input'!$H10="","",IF('Cash Flow %s Yr5'!D14="","",'Cash Flow %s Yr5'!D14*'Revenue Input'!$H10))</f>
        <v>0</v>
      </c>
      <c r="E14" s="64">
        <f>IF('Revenue Input'!$H10="","",IF('Cash Flow %s Yr5'!E14="","",'Cash Flow %s Yr5'!E14*'Revenue Input'!$H10))</f>
        <v>40947.896459999996</v>
      </c>
      <c r="F14" s="64">
        <f>IF('Revenue Input'!$H10="","",IF('Cash Flow %s Yr5'!F14="","",'Cash Flow %s Yr5'!F14*'Revenue Input'!$H10))</f>
        <v>27298.59764</v>
      </c>
      <c r="G14" s="64">
        <f>IF('Revenue Input'!$H10="","",IF('Cash Flow %s Yr5'!G14="","",'Cash Flow %s Yr5'!G14*'Revenue Input'!$H10))</f>
        <v>27298.59764</v>
      </c>
      <c r="H14" s="64">
        <f>IF('Revenue Input'!$H10="","",IF('Cash Flow %s Yr5'!H14="","",'Cash Flow %s Yr5'!H14*'Revenue Input'!$H10))</f>
        <v>27298.59764</v>
      </c>
      <c r="I14" s="64">
        <f>IF('Revenue Input'!$H10="","",IF('Cash Flow %s Yr5'!I14="","",'Cash Flow %s Yr5'!I14*'Revenue Input'!$H10))</f>
        <v>27298.59764</v>
      </c>
      <c r="J14" s="64">
        <f>IF('Revenue Input'!$H10="","",IF('Cash Flow %s Yr5'!J14="","",'Cash Flow %s Yr5'!J14*'Revenue Input'!$H10))</f>
        <v>27298.59764</v>
      </c>
      <c r="K14" s="64">
        <f>IF('Revenue Input'!$H10="","",IF('Cash Flow %s Yr5'!K14="","",'Cash Flow %s Yr5'!K14*'Revenue Input'!$H10))</f>
        <v>47772.545870000002</v>
      </c>
      <c r="L14" s="64">
        <f>IF('Revenue Input'!$H10="","",IF('Cash Flow %s Yr5'!L14="","",'Cash Flow %s Yr5'!L14*'Revenue Input'!$H10))</f>
        <v>23886.272935000001</v>
      </c>
      <c r="M14" s="64">
        <f>IF('Revenue Input'!$H10="","",IF('Cash Flow %s Yr5'!M14="","",'Cash Flow %s Yr5'!M14*'Revenue Input'!$H10))</f>
        <v>23886.272935000001</v>
      </c>
      <c r="N14" s="64">
        <f>IF('Revenue Input'!$H10="","",IF('Cash Flow %s Yr5'!N14="","",'Cash Flow %s Yr5'!N14*'Revenue Input'!$H10))</f>
        <v>23886.272935000001</v>
      </c>
      <c r="O14" s="64">
        <f>IF('Revenue Input'!$H10="","",IF('Cash Flow %s Yr5'!O14="","",'Cash Flow %s Yr5'!O14*'Revenue Input'!$H10))</f>
        <v>23886.272935000001</v>
      </c>
      <c r="P14" s="64">
        <f>IF('Revenue Input'!$H10="","",IF('Cash Flow %s Yr5'!P14="","",'Cash Flow %s Yr5'!P14*'Revenue Input'!$H10))</f>
        <v>0</v>
      </c>
      <c r="Q14" s="64">
        <f>IF('Revenue Input'!$H10="","",IF('Cash Flow %s Yr5'!Q14="","",'Cash Flow %s Yr5'!Q14*'Revenue Input'!$H10))</f>
        <v>0</v>
      </c>
      <c r="R14" s="64">
        <f>IF('Revenue Input'!$H10="","",IF('Cash Flow %s Yr5'!R14="","",'Cash Flow %s Yr5'!R14*'Revenue Input'!$H10))</f>
        <v>0</v>
      </c>
      <c r="S14" s="111">
        <f>IF(SUM(D14:R14)&gt;0,SUM(D14:R14)/'Revenue Input'!$H10,"")</f>
        <v>0.94000000000000006</v>
      </c>
    </row>
    <row r="15" spans="1:19" s="31" customFormat="1" x14ac:dyDescent="0.2">
      <c r="A15" s="50"/>
      <c r="B15" s="65" t="str">
        <f>'Revenue Input'!B11</f>
        <v>8599</v>
      </c>
      <c r="C15" s="65" t="str">
        <f>'Revenue Input'!C11</f>
        <v>Prior Year Income / Adjustments</v>
      </c>
      <c r="D15" s="64">
        <f>'Cash Flow $s Yr4'!P160</f>
        <v>76163.564012659001</v>
      </c>
      <c r="E15" s="64">
        <f>'Cash Flow $s Yr4'!Q160</f>
        <v>10238.980980937498</v>
      </c>
      <c r="F15" s="64">
        <f>'Cash Flow $s Yr4'!R160</f>
        <v>0</v>
      </c>
      <c r="G15" s="64" t="str">
        <f>IF('Revenue Input'!$H11="","",IF('Cash Flow %s Yr5'!G15="","",'Cash Flow %s Yr5'!G15*'Revenue Input'!$H11))</f>
        <v/>
      </c>
      <c r="H15" s="64" t="str">
        <f>IF('Revenue Input'!$H11="","",IF('Cash Flow %s Yr5'!H15="","",'Cash Flow %s Yr5'!H15*'Revenue Input'!$H11))</f>
        <v/>
      </c>
      <c r="I15" s="64" t="str">
        <f>IF('Revenue Input'!$H11="","",IF('Cash Flow %s Yr5'!I15="","",'Cash Flow %s Yr5'!I15*'Revenue Input'!$H11))</f>
        <v/>
      </c>
      <c r="J15" s="64" t="str">
        <f>IF('Revenue Input'!$H11="","",IF('Cash Flow %s Yr5'!J15="","",'Cash Flow %s Yr5'!J15*'Revenue Input'!$H11))</f>
        <v/>
      </c>
      <c r="K15" s="64" t="str">
        <f>IF('Revenue Input'!$H11="","",IF('Cash Flow %s Yr5'!K15="","",'Cash Flow %s Yr5'!K15*'Revenue Input'!$H11))</f>
        <v/>
      </c>
      <c r="L15" s="64" t="str">
        <f>IF('Revenue Input'!$H11="","",IF('Cash Flow %s Yr5'!L15="","",'Cash Flow %s Yr5'!L15*'Revenue Input'!$H11))</f>
        <v/>
      </c>
      <c r="M15" s="64" t="str">
        <f>IF('Revenue Input'!$H11="","",IF('Cash Flow %s Yr5'!M15="","",'Cash Flow %s Yr5'!M15*'Revenue Input'!$H11))</f>
        <v/>
      </c>
      <c r="N15" s="64" t="str">
        <f>IF('Revenue Input'!$H11="","",IF('Cash Flow %s Yr5'!N15="","",'Cash Flow %s Yr5'!N15*'Revenue Input'!$H11))</f>
        <v/>
      </c>
      <c r="O15" s="64" t="str">
        <f>IF('Revenue Input'!$H11="","",IF('Cash Flow %s Yr5'!O15="","",'Cash Flow %s Yr5'!O15*'Revenue Input'!$H11))</f>
        <v/>
      </c>
      <c r="P15" s="64" t="str">
        <f>IF('Revenue Input'!$H11="","",IF('Cash Flow %s Yr5'!P15="","",'Cash Flow %s Yr5'!P15*'Revenue Input'!$H11))</f>
        <v/>
      </c>
      <c r="Q15" s="64" t="str">
        <f>IF('Revenue Input'!$H11="","",IF('Cash Flow %s Yr5'!Q15="","",'Cash Flow %s Yr5'!Q15*'Revenue Input'!$H11))</f>
        <v/>
      </c>
      <c r="R15" s="64" t="str">
        <f>IF('Revenue Input'!$H11="","",IF('Cash Flow %s Yr5'!R15="","",'Cash Flow %s Yr5'!R15*'Revenue Input'!$H11))</f>
        <v/>
      </c>
      <c r="S15" s="111" t="e">
        <f>IF(SUM(D15:R15)&gt;0,SUM(D15:R15)/'Revenue Input'!$H11,"")</f>
        <v>#DIV/0!</v>
      </c>
    </row>
    <row r="16" spans="1:19" s="31" customFormat="1" x14ac:dyDescent="0.2">
      <c r="A16" s="50"/>
      <c r="B16" s="65" t="str">
        <f>'Revenue Input'!B12</f>
        <v>8181</v>
      </c>
      <c r="C16" s="65" t="str">
        <f>'Revenue Input'!C12</f>
        <v>Special Education</v>
      </c>
      <c r="D16" s="64" t="str">
        <f>IF('Revenue Input'!$H12="","",IF('Cash Flow %s Yr5'!D16="","",'Cash Flow %s Yr5'!D16*'Revenue Input'!$H12))</f>
        <v/>
      </c>
      <c r="E16" s="64" t="str">
        <f>IF('Revenue Input'!$H12="","",IF('Cash Flow %s Yr5'!E16="","",'Cash Flow %s Yr5'!E16*'Revenue Input'!$H12))</f>
        <v/>
      </c>
      <c r="F16" s="64" t="str">
        <f>IF('Revenue Input'!$H12="","",IF('Cash Flow %s Yr5'!F16="","",'Cash Flow %s Yr5'!F16*'Revenue Input'!$H12))</f>
        <v/>
      </c>
      <c r="G16" s="64" t="str">
        <f>IF('Revenue Input'!$H12="","",IF('Cash Flow %s Yr5'!G16="","",'Cash Flow %s Yr5'!G16*'Revenue Input'!$H12))</f>
        <v/>
      </c>
      <c r="H16" s="64" t="str">
        <f>IF('Revenue Input'!$H12="","",IF('Cash Flow %s Yr5'!H16="","",'Cash Flow %s Yr5'!H16*'Revenue Input'!$H12))</f>
        <v/>
      </c>
      <c r="I16" s="64" t="str">
        <f>IF('Revenue Input'!$H12="","",IF('Cash Flow %s Yr5'!I16="","",'Cash Flow %s Yr5'!I16*'Revenue Input'!$H12))</f>
        <v/>
      </c>
      <c r="J16" s="64" t="str">
        <f>IF('Revenue Input'!$H12="","",IF('Cash Flow %s Yr5'!J16="","",'Cash Flow %s Yr5'!J16*'Revenue Input'!$H12))</f>
        <v/>
      </c>
      <c r="K16" s="64" t="str">
        <f>IF('Revenue Input'!$H12="","",IF('Cash Flow %s Yr5'!K16="","",'Cash Flow %s Yr5'!K16*'Revenue Input'!$H12))</f>
        <v/>
      </c>
      <c r="L16" s="64" t="str">
        <f>IF('Revenue Input'!$H12="","",IF('Cash Flow %s Yr5'!L16="","",'Cash Flow %s Yr5'!L16*'Revenue Input'!$H12))</f>
        <v/>
      </c>
      <c r="M16" s="64" t="str">
        <f>IF('Revenue Input'!$H12="","",IF('Cash Flow %s Yr5'!M16="","",'Cash Flow %s Yr5'!M16*'Revenue Input'!$H12))</f>
        <v/>
      </c>
      <c r="N16" s="64" t="str">
        <f>IF('Revenue Input'!$H12="","",IF('Cash Flow %s Yr5'!N16="","",'Cash Flow %s Yr5'!N16*'Revenue Input'!$H12))</f>
        <v/>
      </c>
      <c r="O16" s="64" t="str">
        <f>IF('Revenue Input'!$H12="","",IF('Cash Flow %s Yr5'!O16="","",'Cash Flow %s Yr5'!O16*'Revenue Input'!$H12))</f>
        <v/>
      </c>
      <c r="P16" s="64" t="str">
        <f>IF('Revenue Input'!$H12="","",IF('Cash Flow %s Yr5'!P16="","",'Cash Flow %s Yr5'!P16*'Revenue Input'!$H12))</f>
        <v/>
      </c>
      <c r="Q16" s="64" t="str">
        <f>IF('Revenue Input'!$H12="","",IF('Cash Flow %s Yr5'!Q16="","",'Cash Flow %s Yr5'!Q16*'Revenue Input'!$H12))</f>
        <v/>
      </c>
      <c r="R16" s="64" t="str">
        <f>IF('Revenue Input'!$H12="","",IF('Cash Flow %s Yr5'!R16="","",'Cash Flow %s Yr5'!R16*'Revenue Input'!$H12))</f>
        <v/>
      </c>
      <c r="S16" s="111" t="str">
        <f>IF(SUM(D16:R16)&gt;0,SUM(D16:R16)/'Revenue Input'!$H12,"")</f>
        <v/>
      </c>
    </row>
    <row r="17" spans="1:19" s="31" customFormat="1" x14ac:dyDescent="0.2">
      <c r="A17" s="50"/>
      <c r="B17" s="65" t="str">
        <f>'Revenue Input'!B13</f>
        <v>8560</v>
      </c>
      <c r="C17" s="65" t="str">
        <f>'Revenue Input'!C13</f>
        <v>Lottery</v>
      </c>
      <c r="D17" s="64">
        <f>IF('Revenue Input'!$H13="","",IF('Cash Flow %s Yr5'!D17="","",'Cash Flow %s Yr5'!D17*'Revenue Input'!$H13))</f>
        <v>0</v>
      </c>
      <c r="E17" s="64">
        <f>IF('Revenue Input'!$H13="","",IF('Cash Flow %s Yr5'!E17="","",'Cash Flow %s Yr5'!E17*'Revenue Input'!$H13))</f>
        <v>0</v>
      </c>
      <c r="F17" s="64">
        <f>IF('Revenue Input'!$H13="","",IF('Cash Flow %s Yr5'!F17="","",'Cash Flow %s Yr5'!F17*'Revenue Input'!$H13))</f>
        <v>0</v>
      </c>
      <c r="G17" s="64">
        <f>IF('Revenue Input'!$H13="","",IF('Cash Flow %s Yr5'!G17="","",'Cash Flow %s Yr5'!G17*'Revenue Input'!$H13))</f>
        <v>0</v>
      </c>
      <c r="H17" s="64">
        <f>IF('Revenue Input'!$H13="","",IF('Cash Flow %s Yr5'!H17="","",'Cash Flow %s Yr5'!H17*'Revenue Input'!$H13))</f>
        <v>0</v>
      </c>
      <c r="I17" s="64">
        <f>IF('Revenue Input'!$H13="","",IF('Cash Flow %s Yr5'!I17="","",'Cash Flow %s Yr5'!I17*'Revenue Input'!$H13))</f>
        <v>5060.3074999999999</v>
      </c>
      <c r="J17" s="64">
        <f>IF('Revenue Input'!$H13="","",IF('Cash Flow %s Yr5'!J17="","",'Cash Flow %s Yr5'!J17*'Revenue Input'!$H13))</f>
        <v>0</v>
      </c>
      <c r="K17" s="64">
        <f>IF('Revenue Input'!$H13="","",IF('Cash Flow %s Yr5'!K17="","",'Cash Flow %s Yr5'!K17*'Revenue Input'!$H13))</f>
        <v>5060.3074999999999</v>
      </c>
      <c r="L17" s="64">
        <f>IF('Revenue Input'!$H13="","",IF('Cash Flow %s Yr5'!L17="","",'Cash Flow %s Yr5'!L17*'Revenue Input'!$H13))</f>
        <v>0</v>
      </c>
      <c r="M17" s="64">
        <f>IF('Revenue Input'!$H13="","",IF('Cash Flow %s Yr5'!M17="","",'Cash Flow %s Yr5'!M17*'Revenue Input'!$H13))</f>
        <v>5060.3074999999999</v>
      </c>
      <c r="N17" s="64">
        <f>IF('Revenue Input'!$H13="","",IF('Cash Flow %s Yr5'!N17="","",'Cash Flow %s Yr5'!N17*'Revenue Input'!$H13))</f>
        <v>0</v>
      </c>
      <c r="O17" s="64">
        <f>IF('Revenue Input'!$H13="","",IF('Cash Flow %s Yr5'!O17="","",'Cash Flow %s Yr5'!O17*'Revenue Input'!$H13))</f>
        <v>0</v>
      </c>
      <c r="P17" s="64">
        <f>IF('Revenue Input'!$H13="","",IF('Cash Flow %s Yr5'!P17="","",'Cash Flow %s Yr5'!P17*'Revenue Input'!$H13))</f>
        <v>5060.3074999999999</v>
      </c>
      <c r="Q17" s="64">
        <f>IF('Revenue Input'!$H13="","",IF('Cash Flow %s Yr5'!Q17="","",'Cash Flow %s Yr5'!Q17*'Revenue Input'!$H13))</f>
        <v>0</v>
      </c>
      <c r="R17" s="64">
        <f>IF('Revenue Input'!$H13="","",IF('Cash Flow %s Yr5'!R17="","",'Cash Flow %s Yr5'!R17*'Revenue Input'!$H13))</f>
        <v>0</v>
      </c>
      <c r="S17" s="111">
        <f>IF(SUM(D17:R17)&gt;0,SUM(D17:R17)/'Revenue Input'!$H13,"")</f>
        <v>1</v>
      </c>
    </row>
    <row r="18" spans="1:19" s="31" customFormat="1" x14ac:dyDescent="0.2">
      <c r="A18" s="49"/>
      <c r="B18" s="65" t="str">
        <f>'Revenue Input'!B14</f>
        <v>8520</v>
      </c>
      <c r="C18" s="65" t="str">
        <f>'Revenue Input'!C14</f>
        <v>State Child Nutrition program</v>
      </c>
      <c r="D18" s="64" t="str">
        <f>IF('Revenue Input'!$H14="","",IF('Cash Flow %s Yr5'!D18="","",'Cash Flow %s Yr5'!D18*'Revenue Input'!$H14))</f>
        <v/>
      </c>
      <c r="E18" s="64" t="str">
        <f>IF('Revenue Input'!$H14="","",IF('Cash Flow %s Yr5'!E18="","",'Cash Flow %s Yr5'!E18*'Revenue Input'!$H14))</f>
        <v/>
      </c>
      <c r="F18" s="64" t="str">
        <f>IF('Revenue Input'!$H14="","",IF('Cash Flow %s Yr5'!F18="","",'Cash Flow %s Yr5'!F18*'Revenue Input'!$H14))</f>
        <v/>
      </c>
      <c r="G18" s="64" t="str">
        <f>IF('Revenue Input'!$H14="","",IF('Cash Flow %s Yr5'!G18="","",'Cash Flow %s Yr5'!G18*'Revenue Input'!$H14))</f>
        <v/>
      </c>
      <c r="H18" s="64" t="str">
        <f>IF('Revenue Input'!$H14="","",IF('Cash Flow %s Yr5'!H18="","",'Cash Flow %s Yr5'!H18*'Revenue Input'!$H14))</f>
        <v/>
      </c>
      <c r="I18" s="64" t="str">
        <f>IF('Revenue Input'!$H14="","",IF('Cash Flow %s Yr5'!I18="","",'Cash Flow %s Yr5'!I18*'Revenue Input'!$H14))</f>
        <v/>
      </c>
      <c r="J18" s="64" t="str">
        <f>IF('Revenue Input'!$H14="","",IF('Cash Flow %s Yr5'!J18="","",'Cash Flow %s Yr5'!J18*'Revenue Input'!$H14))</f>
        <v/>
      </c>
      <c r="K18" s="64" t="str">
        <f>IF('Revenue Input'!$H14="","",IF('Cash Flow %s Yr5'!K18="","",'Cash Flow %s Yr5'!K18*'Revenue Input'!$H14))</f>
        <v/>
      </c>
      <c r="L18" s="64" t="str">
        <f>IF('Revenue Input'!$H14="","",IF('Cash Flow %s Yr5'!L18="","",'Cash Flow %s Yr5'!L18*'Revenue Input'!$H14))</f>
        <v/>
      </c>
      <c r="M18" s="64" t="str">
        <f>IF('Revenue Input'!$H14="","",IF('Cash Flow %s Yr5'!M18="","",'Cash Flow %s Yr5'!M18*'Revenue Input'!$H14))</f>
        <v/>
      </c>
      <c r="N18" s="64" t="str">
        <f>IF('Revenue Input'!$H14="","",IF('Cash Flow %s Yr5'!N18="","",'Cash Flow %s Yr5'!N18*'Revenue Input'!$H14))</f>
        <v/>
      </c>
      <c r="O18" s="64" t="str">
        <f>IF('Revenue Input'!$H14="","",IF('Cash Flow %s Yr5'!O18="","",'Cash Flow %s Yr5'!O18*'Revenue Input'!$H14))</f>
        <v/>
      </c>
      <c r="P18" s="64" t="str">
        <f>IF('Revenue Input'!$H14="","",IF('Cash Flow %s Yr5'!P18="","",'Cash Flow %s Yr5'!P18*'Revenue Input'!$H14))</f>
        <v/>
      </c>
      <c r="Q18" s="64" t="str">
        <f>IF('Revenue Input'!$H14="","",IF('Cash Flow %s Yr5'!Q18="","",'Cash Flow %s Yr5'!Q18*'Revenue Input'!$H14))</f>
        <v/>
      </c>
      <c r="R18" s="64" t="str">
        <f>IF('Revenue Input'!$H14="","",IF('Cash Flow %s Yr5'!R18="","",'Cash Flow %s Yr5'!R18*'Revenue Input'!$H14))</f>
        <v/>
      </c>
      <c r="S18" s="111" t="str">
        <f>IF(SUM(D18:R18)&gt;0,SUM(D18:R18)/'Revenue Input'!$H14,"")</f>
        <v/>
      </c>
    </row>
    <row r="19" spans="1:19" s="31" customFormat="1" x14ac:dyDescent="0.2">
      <c r="A19" s="50"/>
      <c r="B19" s="65" t="str">
        <f>'Revenue Input'!B15</f>
        <v>8591</v>
      </c>
      <c r="C19" s="65" t="str">
        <f>'Revenue Input'!C15</f>
        <v>SB 740 Rent re-imbursement program</v>
      </c>
      <c r="D19" s="64">
        <f>IF('Revenue Input'!$H15="","",IF('Cash Flow %s Yr5'!D19="","",'Cash Flow %s Yr5'!D19*'Revenue Input'!$H15))</f>
        <v>0</v>
      </c>
      <c r="E19" s="64">
        <f>IF('Revenue Input'!$H15="","",IF('Cash Flow %s Yr5'!E19="","",'Cash Flow %s Yr5'!E19*'Revenue Input'!$H15))</f>
        <v>0</v>
      </c>
      <c r="F19" s="64">
        <f>IF('Revenue Input'!$H15="","",IF('Cash Flow %s Yr5'!F19="","",'Cash Flow %s Yr5'!F19*'Revenue Input'!$H15))</f>
        <v>0</v>
      </c>
      <c r="G19" s="64">
        <f>IF('Revenue Input'!$H15="","",IF('Cash Flow %s Yr5'!G19="","",'Cash Flow %s Yr5'!G19*'Revenue Input'!$H15))</f>
        <v>0</v>
      </c>
      <c r="H19" s="64">
        <f>IF('Revenue Input'!$H15="","",IF('Cash Flow %s Yr5'!H19="","",'Cash Flow %s Yr5'!H19*'Revenue Input'!$H15))</f>
        <v>10515.433467422808</v>
      </c>
      <c r="I19" s="64">
        <f>IF('Revenue Input'!$H15="","",IF('Cash Flow %s Yr5'!I19="","",'Cash Flow %s Yr5'!I19*'Revenue Input'!$H15))</f>
        <v>0</v>
      </c>
      <c r="J19" s="64">
        <f>IF('Revenue Input'!$H15="","",IF('Cash Flow %s Yr5'!J19="","",'Cash Flow %s Yr5'!J19*'Revenue Input'!$H15))</f>
        <v>0</v>
      </c>
      <c r="K19" s="64">
        <f>IF('Revenue Input'!$H15="","",IF('Cash Flow %s Yr5'!K19="","",'Cash Flow %s Yr5'!K19*'Revenue Input'!$H15))</f>
        <v>10515.433467422808</v>
      </c>
      <c r="L19" s="64">
        <f>IF('Revenue Input'!$H15="","",IF('Cash Flow %s Yr5'!L19="","",'Cash Flow %s Yr5'!L19*'Revenue Input'!$H15))</f>
        <v>0</v>
      </c>
      <c r="M19" s="64">
        <f>IF('Revenue Input'!$H15="","",IF('Cash Flow %s Yr5'!M19="","",'Cash Flow %s Yr5'!M19*'Revenue Input'!$H15))</f>
        <v>0</v>
      </c>
      <c r="N19" s="64">
        <f>IF('Revenue Input'!$H15="","",IF('Cash Flow %s Yr5'!N19="","",'Cash Flow %s Yr5'!N19*'Revenue Input'!$H15))</f>
        <v>10515.433467422808</v>
      </c>
      <c r="O19" s="64">
        <f>IF('Revenue Input'!$H15="","",IF('Cash Flow %s Yr5'!O19="","",'Cash Flow %s Yr5'!O19*'Revenue Input'!$H15))</f>
        <v>0</v>
      </c>
      <c r="P19" s="64">
        <f>IF('Revenue Input'!$H15="","",IF('Cash Flow %s Yr5'!P19="","",'Cash Flow %s Yr5'!P19*'Revenue Input'!$H15))</f>
        <v>0</v>
      </c>
      <c r="Q19" s="64">
        <f>IF('Revenue Input'!$H15="","",IF('Cash Flow %s Yr5'!Q19="","",'Cash Flow %s Yr5'!Q19*'Revenue Input'!$H15))</f>
        <v>10515.433467422808</v>
      </c>
      <c r="R19" s="64">
        <f>IF('Revenue Input'!$H15="","",IF('Cash Flow %s Yr5'!R19="","",'Cash Flow %s Yr5'!R19*'Revenue Input'!$H15))</f>
        <v>0</v>
      </c>
      <c r="S19" s="111">
        <f>IF(SUM(D19:R19)&gt;0,SUM(D19:R19)/'Revenue Input'!$H15,"")</f>
        <v>1</v>
      </c>
    </row>
    <row r="20" spans="1:19" s="31" customFormat="1" ht="18" x14ac:dyDescent="0.2">
      <c r="A20" s="47"/>
      <c r="B20" s="65" t="str">
        <f>'Revenue Input'!B16</f>
        <v>8590</v>
      </c>
      <c r="C20" s="65" t="str">
        <f>'Revenue Input'!C16</f>
        <v>Educator Effectiveness</v>
      </c>
      <c r="D20" s="64" t="str">
        <f>IF('Revenue Input'!$H16="","",IF('Cash Flow %s Yr5'!D20="","",'Cash Flow %s Yr5'!D20*'Revenue Input'!$H16))</f>
        <v/>
      </c>
      <c r="E20" s="64" t="str">
        <f>IF('Revenue Input'!$H16="","",IF('Cash Flow %s Yr5'!E20="","",'Cash Flow %s Yr5'!E20*'Revenue Input'!$H16))</f>
        <v/>
      </c>
      <c r="F20" s="64" t="str">
        <f>IF('Revenue Input'!$H16="","",IF('Cash Flow %s Yr5'!F20="","",'Cash Flow %s Yr5'!F20*'Revenue Input'!$H16))</f>
        <v/>
      </c>
      <c r="G20" s="64" t="str">
        <f>IF('Revenue Input'!$H16="","",IF('Cash Flow %s Yr5'!G20="","",'Cash Flow %s Yr5'!G20*'Revenue Input'!$H16))</f>
        <v/>
      </c>
      <c r="H20" s="64" t="str">
        <f>IF('Revenue Input'!$H16="","",IF('Cash Flow %s Yr5'!H20="","",'Cash Flow %s Yr5'!H20*'Revenue Input'!$H16))</f>
        <v/>
      </c>
      <c r="I20" s="64" t="str">
        <f>IF('Revenue Input'!$H16="","",IF('Cash Flow %s Yr5'!I20="","",'Cash Flow %s Yr5'!I20*'Revenue Input'!$H16))</f>
        <v/>
      </c>
      <c r="J20" s="64" t="str">
        <f>IF('Revenue Input'!$H16="","",IF('Cash Flow %s Yr5'!J20="","",'Cash Flow %s Yr5'!J20*'Revenue Input'!$H16))</f>
        <v/>
      </c>
      <c r="K20" s="64" t="str">
        <f>IF('Revenue Input'!$H16="","",IF('Cash Flow %s Yr5'!K20="","",'Cash Flow %s Yr5'!K20*'Revenue Input'!$H16))</f>
        <v/>
      </c>
      <c r="L20" s="64" t="str">
        <f>IF('Revenue Input'!$H16="","",IF('Cash Flow %s Yr5'!L20="","",'Cash Flow %s Yr5'!L20*'Revenue Input'!$H16))</f>
        <v/>
      </c>
      <c r="M20" s="64" t="str">
        <f>IF('Revenue Input'!$H16="","",IF('Cash Flow %s Yr5'!M20="","",'Cash Flow %s Yr5'!M20*'Revenue Input'!$H16))</f>
        <v/>
      </c>
      <c r="N20" s="64" t="str">
        <f>IF('Revenue Input'!$H16="","",IF('Cash Flow %s Yr5'!N20="","",'Cash Flow %s Yr5'!N20*'Revenue Input'!$H16))</f>
        <v/>
      </c>
      <c r="O20" s="64" t="str">
        <f>IF('Revenue Input'!$H16="","",IF('Cash Flow %s Yr5'!O20="","",'Cash Flow %s Yr5'!O20*'Revenue Input'!$H16))</f>
        <v/>
      </c>
      <c r="P20" s="64" t="str">
        <f>IF('Revenue Input'!$H16="","",IF('Cash Flow %s Yr5'!P20="","",'Cash Flow %s Yr5'!P20*'Revenue Input'!$H16))</f>
        <v/>
      </c>
      <c r="Q20" s="64" t="str">
        <f>IF('Revenue Input'!$H16="","",IF('Cash Flow %s Yr5'!Q20="","",'Cash Flow %s Yr5'!Q20*'Revenue Input'!$H16))</f>
        <v/>
      </c>
      <c r="R20" s="64" t="str">
        <f>IF('Revenue Input'!$H16="","",IF('Cash Flow %s Yr5'!R20="","",'Cash Flow %s Yr5'!R20*'Revenue Input'!$H16))</f>
        <v/>
      </c>
      <c r="S20" s="111" t="str">
        <f>IF(SUM(D20:R20)&gt;0,SUM(D20:R20)/'Revenue Input'!$H16,"")</f>
        <v/>
      </c>
    </row>
    <row r="21" spans="1:19" s="31" customFormat="1" ht="18" x14ac:dyDescent="0.2">
      <c r="A21" s="47"/>
      <c r="B21" s="65" t="str">
        <f>'Revenue Input'!B17</f>
        <v>8550</v>
      </c>
      <c r="C21" s="65" t="str">
        <f>'Revenue Input'!C17</f>
        <v>Mandate Block Grant</v>
      </c>
      <c r="D21" s="64">
        <f>IF('Revenue Input'!$H17="","",IF('Cash Flow %s Yr5'!D22="","",'Cash Flow %s Yr5'!D22*'Revenue Input'!$H17))</f>
        <v>0</v>
      </c>
      <c r="E21" s="64">
        <f>IF('Revenue Input'!$H17="","",IF('Cash Flow %s Yr5'!E22="","",'Cash Flow %s Yr5'!E22*'Revenue Input'!$H17))</f>
        <v>0</v>
      </c>
      <c r="F21" s="64">
        <f>IF('Revenue Input'!$H17="","",IF('Cash Flow %s Yr5'!F22="","",'Cash Flow %s Yr5'!F22*'Revenue Input'!$H17))</f>
        <v>0</v>
      </c>
      <c r="G21" s="64">
        <f>IF('Revenue Input'!$H17="","",IF('Cash Flow %s Yr5'!G22="","",'Cash Flow %s Yr5'!G22*'Revenue Input'!$H17))</f>
        <v>0</v>
      </c>
      <c r="H21" s="64">
        <f>IF('Revenue Input'!$H17="","",IF('Cash Flow %s Yr5'!H22="","",'Cash Flow %s Yr5'!H22*'Revenue Input'!$H17))</f>
        <v>0</v>
      </c>
      <c r="I21" s="64">
        <f>IF('Revenue Input'!$H17="","",IF('Cash Flow %s Yr5'!I22="","",'Cash Flow %s Yr5'!I22*'Revenue Input'!$H17))</f>
        <v>1825.6918165757697</v>
      </c>
      <c r="J21" s="64">
        <f>IF('Revenue Input'!$H17="","",IF('Cash Flow %s Yr5'!J22="","",'Cash Flow %s Yr5'!J22*'Revenue Input'!$H17))</f>
        <v>0</v>
      </c>
      <c r="K21" s="64">
        <f>IF('Revenue Input'!$H17="","",IF('Cash Flow %s Yr5'!K22="","",'Cash Flow %s Yr5'!K22*'Revenue Input'!$H17))</f>
        <v>0</v>
      </c>
      <c r="L21" s="64">
        <f>IF('Revenue Input'!$H17="","",IF('Cash Flow %s Yr5'!L22="","",'Cash Flow %s Yr5'!L22*'Revenue Input'!$H17))</f>
        <v>456.42295414394243</v>
      </c>
      <c r="M21" s="64">
        <f>IF('Revenue Input'!$H17="","",IF('Cash Flow %s Yr5'!M22="","",'Cash Flow %s Yr5'!M22*'Revenue Input'!$H17))</f>
        <v>0</v>
      </c>
      <c r="N21" s="64">
        <f>IF('Revenue Input'!$H17="","",IF('Cash Flow %s Yr5'!N22="","",'Cash Flow %s Yr5'!N22*'Revenue Input'!$H17))</f>
        <v>0</v>
      </c>
      <c r="O21" s="64">
        <f>IF('Revenue Input'!$H17="","",IF('Cash Flow %s Yr5'!O22="","",'Cash Flow %s Yr5'!O22*'Revenue Input'!$H17))</f>
        <v>0</v>
      </c>
      <c r="P21" s="64">
        <f>IF('Revenue Input'!$H17="","",IF('Cash Flow %s Yr5'!P22="","",'Cash Flow %s Yr5'!P22*'Revenue Input'!$H17))</f>
        <v>0</v>
      </c>
      <c r="Q21" s="64">
        <f>IF('Revenue Input'!$H17="","",IF('Cash Flow %s Yr5'!Q22="","",'Cash Flow %s Yr5'!Q22*'Revenue Input'!$H17))</f>
        <v>0</v>
      </c>
      <c r="R21" s="64">
        <f>IF('Revenue Input'!$H17="","",IF('Cash Flow %s Yr5'!R22="","",'Cash Flow %s Yr5'!R22*'Revenue Input'!$H17))</f>
        <v>0</v>
      </c>
      <c r="S21" s="111">
        <f>IF(SUM(D21:R21)&gt;0,SUM(D21:R21)/'Revenue Input'!$H17,"")</f>
        <v>1.0000000000000002</v>
      </c>
    </row>
    <row r="22" spans="1:19" s="31" customFormat="1" ht="18" x14ac:dyDescent="0.2">
      <c r="A22" s="47"/>
      <c r="B22" s="65" t="str">
        <f>'Revenue Input'!B18</f>
        <v>8550</v>
      </c>
      <c r="C22" s="65" t="str">
        <f>'Revenue Input'!C18</f>
        <v>One Time Block Grant</v>
      </c>
      <c r="D22" s="64" t="str">
        <f>IF('Revenue Input'!$H18="","",IF('Cash Flow %s Yr5'!D22="","",'Cash Flow %s Yr5'!D22*'Revenue Input'!$H18))</f>
        <v/>
      </c>
      <c r="E22" s="64" t="str">
        <f>IF('Revenue Input'!$H18="","",IF('Cash Flow %s Yr5'!E22="","",'Cash Flow %s Yr5'!E22*'Revenue Input'!$H18))</f>
        <v/>
      </c>
      <c r="F22" s="64" t="str">
        <f>IF('Revenue Input'!$H18="","",IF('Cash Flow %s Yr5'!F22="","",'Cash Flow %s Yr5'!F22*'Revenue Input'!$H18))</f>
        <v/>
      </c>
      <c r="G22" s="64" t="str">
        <f>IF('Revenue Input'!$H18="","",IF('Cash Flow %s Yr5'!G22="","",'Cash Flow %s Yr5'!G22*'Revenue Input'!$H18))</f>
        <v/>
      </c>
      <c r="H22" s="64" t="str">
        <f>IF('Revenue Input'!$H18="","",IF('Cash Flow %s Yr5'!H22="","",'Cash Flow %s Yr5'!H22*'Revenue Input'!$H18))</f>
        <v/>
      </c>
      <c r="I22" s="64" t="str">
        <f>IF('Revenue Input'!$H18="","",IF('Cash Flow %s Yr5'!I22="","",'Cash Flow %s Yr5'!I22*'Revenue Input'!$H18))</f>
        <v/>
      </c>
      <c r="J22" s="64" t="str">
        <f>IF('Revenue Input'!$H18="","",IF('Cash Flow %s Yr5'!J22="","",'Cash Flow %s Yr5'!J22*'Revenue Input'!$H18))</f>
        <v/>
      </c>
      <c r="K22" s="64" t="str">
        <f>IF('Revenue Input'!$H18="","",IF('Cash Flow %s Yr5'!K22="","",'Cash Flow %s Yr5'!K22*'Revenue Input'!$H18))</f>
        <v/>
      </c>
      <c r="L22" s="64" t="str">
        <f>IF('Revenue Input'!$H18="","",IF('Cash Flow %s Yr5'!L22="","",'Cash Flow %s Yr5'!L22*'Revenue Input'!$H18))</f>
        <v/>
      </c>
      <c r="M22" s="64" t="str">
        <f>IF('Revenue Input'!$H18="","",IF('Cash Flow %s Yr5'!M22="","",'Cash Flow %s Yr5'!M22*'Revenue Input'!$H18))</f>
        <v/>
      </c>
      <c r="N22" s="64" t="str">
        <f>IF('Revenue Input'!$H18="","",IF('Cash Flow %s Yr5'!N22="","",'Cash Flow %s Yr5'!N22*'Revenue Input'!$H18))</f>
        <v/>
      </c>
      <c r="O22" s="64" t="str">
        <f>IF('Revenue Input'!$H18="","",IF('Cash Flow %s Yr5'!O22="","",'Cash Flow %s Yr5'!O22*'Revenue Input'!$H18))</f>
        <v/>
      </c>
      <c r="P22" s="64" t="str">
        <f>IF('Revenue Input'!$H18="","",IF('Cash Flow %s Yr5'!P22="","",'Cash Flow %s Yr5'!P22*'Revenue Input'!$H18))</f>
        <v/>
      </c>
      <c r="Q22" s="64" t="str">
        <f>IF('Revenue Input'!$H18="","",IF('Cash Flow %s Yr5'!Q22="","",'Cash Flow %s Yr5'!Q22*'Revenue Input'!$H18))</f>
        <v/>
      </c>
      <c r="R22" s="64" t="str">
        <f>IF('Revenue Input'!$H18="","",IF('Cash Flow %s Yr5'!R22="","",'Cash Flow %s Yr5'!R22*'Revenue Input'!$H18))</f>
        <v/>
      </c>
      <c r="S22" s="111" t="str">
        <f>IF(SUM(D22:R22)&gt;0,SUM(D22:R22)/'Revenue Input'!$H18,"")</f>
        <v/>
      </c>
    </row>
    <row r="23" spans="1:19" s="31" customFormat="1" ht="18" x14ac:dyDescent="0.2">
      <c r="A23" s="47"/>
      <c r="B23" s="73"/>
      <c r="C23" s="34" t="s">
        <v>721</v>
      </c>
      <c r="D23" s="172">
        <f>SUM(D12:D22)</f>
        <v>76163.564012659001</v>
      </c>
      <c r="E23" s="172">
        <f t="shared" ref="E23:R23" si="0">SUM(E12:E22)</f>
        <v>86821.678735614492</v>
      </c>
      <c r="F23" s="172">
        <f t="shared" si="0"/>
        <v>62933.398934676996</v>
      </c>
      <c r="G23" s="172">
        <f t="shared" si="0"/>
        <v>91441.239970418595</v>
      </c>
      <c r="H23" s="172">
        <f t="shared" si="0"/>
        <v>101956.67343784141</v>
      </c>
      <c r="I23" s="172">
        <f t="shared" si="0"/>
        <v>98327.239286994358</v>
      </c>
      <c r="J23" s="172">
        <f t="shared" si="0"/>
        <v>91441.239970418595</v>
      </c>
      <c r="K23" s="172">
        <f t="shared" si="0"/>
        <v>127490.92916784139</v>
      </c>
      <c r="L23" s="172">
        <f t="shared" si="0"/>
        <v>88485.338219562531</v>
      </c>
      <c r="M23" s="172">
        <f t="shared" si="0"/>
        <v>93089.222765418584</v>
      </c>
      <c r="N23" s="172">
        <f t="shared" si="0"/>
        <v>98544.348732841405</v>
      </c>
      <c r="O23" s="172">
        <f t="shared" si="0"/>
        <v>88028.915265418589</v>
      </c>
      <c r="P23" s="172">
        <f t="shared" si="0"/>
        <v>69202.949830418584</v>
      </c>
      <c r="Q23" s="172">
        <f t="shared" si="0"/>
        <v>10515.433467422808</v>
      </c>
      <c r="R23" s="172">
        <f t="shared" si="0"/>
        <v>0</v>
      </c>
      <c r="S23" s="111"/>
    </row>
    <row r="24" spans="1:19" s="31" customFormat="1" ht="18" x14ac:dyDescent="0.2">
      <c r="A24" s="47"/>
      <c r="B24" s="72"/>
      <c r="C24" s="50"/>
      <c r="D24" s="126"/>
      <c r="E24" s="126"/>
      <c r="F24" s="126"/>
      <c r="G24" s="126"/>
      <c r="H24" s="126"/>
      <c r="I24" s="126"/>
      <c r="J24" s="126"/>
      <c r="K24" s="126"/>
      <c r="L24" s="126"/>
      <c r="M24" s="126"/>
      <c r="N24" s="126"/>
      <c r="O24" s="126"/>
      <c r="P24" s="126"/>
      <c r="Q24" s="126"/>
      <c r="R24" s="126"/>
    </row>
    <row r="25" spans="1:19" s="31" customFormat="1" ht="18" x14ac:dyDescent="0.2">
      <c r="B25" s="47" t="s">
        <v>785</v>
      </c>
      <c r="C25" s="50"/>
      <c r="D25" s="126"/>
      <c r="E25" s="126"/>
      <c r="F25" s="126"/>
      <c r="G25" s="126"/>
      <c r="H25" s="126"/>
      <c r="I25" s="126"/>
      <c r="J25" s="126"/>
      <c r="K25" s="126"/>
      <c r="L25" s="126"/>
      <c r="M25" s="126"/>
      <c r="N25" s="126"/>
      <c r="O25" s="126"/>
      <c r="P25" s="126"/>
      <c r="Q25" s="126"/>
      <c r="R25" s="126"/>
    </row>
    <row r="26" spans="1:19" s="31" customFormat="1" ht="18" x14ac:dyDescent="0.2">
      <c r="A26" s="47"/>
      <c r="B26" s="65" t="str">
        <f>'Revenue Input'!B22</f>
        <v>8220</v>
      </c>
      <c r="C26" s="65" t="str">
        <f>'Revenue Input'!C22</f>
        <v>Federal Child Nutrition Programs</v>
      </c>
      <c r="D26" s="64" t="str">
        <f>IF('Revenue Input'!$H22="","",IF('Cash Flow %s Yr5'!D26="","",'Cash Flow %s Yr5'!D26*'Revenue Input'!$H22))</f>
        <v/>
      </c>
      <c r="E26" s="64" t="str">
        <f>IF('Revenue Input'!$H22="","",IF('Cash Flow %s Yr5'!E26="","",'Cash Flow %s Yr5'!E26*'Revenue Input'!$H22))</f>
        <v/>
      </c>
      <c r="F26" s="64" t="str">
        <f>IF('Revenue Input'!$H22="","",IF('Cash Flow %s Yr5'!F26="","",'Cash Flow %s Yr5'!F26*'Revenue Input'!$H22))</f>
        <v/>
      </c>
      <c r="G26" s="64" t="str">
        <f>IF('Revenue Input'!$H22="","",IF('Cash Flow %s Yr5'!G26="","",'Cash Flow %s Yr5'!G26*'Revenue Input'!$H22))</f>
        <v/>
      </c>
      <c r="H26" s="64" t="str">
        <f>IF('Revenue Input'!$H22="","",IF('Cash Flow %s Yr5'!H26="","",'Cash Flow %s Yr5'!H26*'Revenue Input'!$H22))</f>
        <v/>
      </c>
      <c r="I26" s="64" t="str">
        <f>IF('Revenue Input'!$H22="","",IF('Cash Flow %s Yr5'!I26="","",'Cash Flow %s Yr5'!I26*'Revenue Input'!$H22))</f>
        <v/>
      </c>
      <c r="J26" s="64" t="str">
        <f>IF('Revenue Input'!$H22="","",IF('Cash Flow %s Yr5'!J26="","",'Cash Flow %s Yr5'!J26*'Revenue Input'!$H22))</f>
        <v/>
      </c>
      <c r="K26" s="64" t="str">
        <f>IF('Revenue Input'!$H22="","",IF('Cash Flow %s Yr5'!K26="","",'Cash Flow %s Yr5'!K26*'Revenue Input'!$H22))</f>
        <v/>
      </c>
      <c r="L26" s="64" t="str">
        <f>IF('Revenue Input'!$H22="","",IF('Cash Flow %s Yr5'!L26="","",'Cash Flow %s Yr5'!L26*'Revenue Input'!$H22))</f>
        <v/>
      </c>
      <c r="M26" s="64" t="str">
        <f>IF('Revenue Input'!$H22="","",IF('Cash Flow %s Yr5'!M26="","",'Cash Flow %s Yr5'!M26*'Revenue Input'!$H22))</f>
        <v/>
      </c>
      <c r="N26" s="64" t="str">
        <f>IF('Revenue Input'!$H22="","",IF('Cash Flow %s Yr5'!N26="","",'Cash Flow %s Yr5'!N26*'Revenue Input'!$H22))</f>
        <v/>
      </c>
      <c r="O26" s="64" t="str">
        <f>IF('Revenue Input'!$H22="","",IF('Cash Flow %s Yr5'!O26="","",'Cash Flow %s Yr5'!O26*'Revenue Input'!$H22))</f>
        <v/>
      </c>
      <c r="P26" s="64" t="str">
        <f>IF('Revenue Input'!$H22="","",IF('Cash Flow %s Yr5'!P26="","",'Cash Flow %s Yr5'!P26*'Revenue Input'!$H22))</f>
        <v/>
      </c>
      <c r="Q26" s="64" t="str">
        <f>IF('Revenue Input'!$H22="","",IF('Cash Flow %s Yr5'!Q26="","",'Cash Flow %s Yr5'!Q26*'Revenue Input'!$H22))</f>
        <v/>
      </c>
      <c r="R26" s="64" t="str">
        <f>IF('Revenue Input'!$H22="","",IF('Cash Flow %s Yr5'!R26="","",'Cash Flow %s Yr5'!R26*'Revenue Input'!$H22))</f>
        <v/>
      </c>
      <c r="S26" s="111" t="str">
        <f>IF(SUM(D26:R26)&gt;0,SUM(D26:R26)/'Revenue Input'!$H22,"")</f>
        <v/>
      </c>
    </row>
    <row r="27" spans="1:19" s="31" customFormat="1" ht="18" x14ac:dyDescent="0.2">
      <c r="A27" s="47"/>
      <c r="B27" s="65" t="str">
        <f>'Revenue Input'!B23</f>
        <v>8290</v>
      </c>
      <c r="C27" s="65" t="str">
        <f>'Revenue Input'!C23</f>
        <v>All Other Federal Revenue, inc Facilities Incentive Grants program</v>
      </c>
      <c r="D27" s="64" t="str">
        <f>IF('Revenue Input'!$H23="","",IF('Cash Flow %s Yr5'!D27="","",'Cash Flow %s Yr5'!D27*'Revenue Input'!$H23))</f>
        <v/>
      </c>
      <c r="E27" s="64" t="str">
        <f>IF('Revenue Input'!$H23="","",IF('Cash Flow %s Yr5'!E27="","",'Cash Flow %s Yr5'!E27*'Revenue Input'!$H23))</f>
        <v/>
      </c>
      <c r="F27" s="64" t="str">
        <f>IF('Revenue Input'!$H23="","",IF('Cash Flow %s Yr5'!F27="","",'Cash Flow %s Yr5'!F27*'Revenue Input'!$H23))</f>
        <v/>
      </c>
      <c r="G27" s="64" t="str">
        <f>IF('Revenue Input'!$H23="","",IF('Cash Flow %s Yr5'!G27="","",'Cash Flow %s Yr5'!G27*'Revenue Input'!$H23))</f>
        <v/>
      </c>
      <c r="H27" s="64" t="str">
        <f>IF('Revenue Input'!$H23="","",IF('Cash Flow %s Yr5'!H27="","",'Cash Flow %s Yr5'!H27*'Revenue Input'!$H23))</f>
        <v/>
      </c>
      <c r="I27" s="64" t="str">
        <f>IF('Revenue Input'!$H23="","",IF('Cash Flow %s Yr5'!I27="","",'Cash Flow %s Yr5'!I27*'Revenue Input'!$H23))</f>
        <v/>
      </c>
      <c r="J27" s="64" t="str">
        <f>IF('Revenue Input'!$H23="","",IF('Cash Flow %s Yr5'!J27="","",'Cash Flow %s Yr5'!J27*'Revenue Input'!$H23))</f>
        <v/>
      </c>
      <c r="K27" s="64" t="str">
        <f>IF('Revenue Input'!$H23="","",IF('Cash Flow %s Yr5'!K27="","",'Cash Flow %s Yr5'!K27*'Revenue Input'!$H23))</f>
        <v/>
      </c>
      <c r="L27" s="64" t="str">
        <f>IF('Revenue Input'!$H23="","",IF('Cash Flow %s Yr5'!L27="","",'Cash Flow %s Yr5'!L27*'Revenue Input'!$H23))</f>
        <v/>
      </c>
      <c r="M27" s="64" t="str">
        <f>IF('Revenue Input'!$H23="","",IF('Cash Flow %s Yr5'!M27="","",'Cash Flow %s Yr5'!M27*'Revenue Input'!$H23))</f>
        <v/>
      </c>
      <c r="N27" s="64" t="str">
        <f>IF('Revenue Input'!$H23="","",IF('Cash Flow %s Yr5'!N27="","",'Cash Flow %s Yr5'!N27*'Revenue Input'!$H23))</f>
        <v/>
      </c>
      <c r="O27" s="64" t="str">
        <f>IF('Revenue Input'!$H23="","",IF('Cash Flow %s Yr5'!O27="","",'Cash Flow %s Yr5'!O27*'Revenue Input'!$H23))</f>
        <v/>
      </c>
      <c r="P27" s="64" t="str">
        <f>IF('Revenue Input'!$H23="","",IF('Cash Flow %s Yr5'!P27="","",'Cash Flow %s Yr5'!P27*'Revenue Input'!$H23))</f>
        <v/>
      </c>
      <c r="Q27" s="64" t="str">
        <f>IF('Revenue Input'!$H23="","",IF('Cash Flow %s Yr5'!Q27="","",'Cash Flow %s Yr5'!Q27*'Revenue Input'!$H23))</f>
        <v/>
      </c>
      <c r="R27" s="64" t="str">
        <f>IF('Revenue Input'!$H23="","",IF('Cash Flow %s Yr5'!R27="","",'Cash Flow %s Yr5'!R27*'Revenue Input'!$H23))</f>
        <v/>
      </c>
      <c r="S27" s="111" t="str">
        <f>IF(SUM(D27:R27)&gt;0,SUM(D27:R27)/'Revenue Input'!$H23,"")</f>
        <v/>
      </c>
    </row>
    <row r="28" spans="1:19" s="31" customFormat="1" ht="18" x14ac:dyDescent="0.2">
      <c r="A28" s="47"/>
      <c r="B28" s="65" t="str">
        <f>'Revenue Input'!B24</f>
        <v>8291</v>
      </c>
      <c r="C28" s="65" t="str">
        <f>'Revenue Input'!C24</f>
        <v>Title I</v>
      </c>
      <c r="D28" s="64" t="str">
        <f>IF('Revenue Input'!$H24="","",IF('Cash Flow %s Yr5'!D28="","",'Cash Flow %s Yr5'!D28*'Revenue Input'!$H24))</f>
        <v/>
      </c>
      <c r="E28" s="64" t="str">
        <f>IF('Revenue Input'!$H24="","",IF('Cash Flow %s Yr5'!E28="","",'Cash Flow %s Yr5'!E28*'Revenue Input'!$H24))</f>
        <v/>
      </c>
      <c r="F28" s="64" t="str">
        <f>IF('Revenue Input'!$H24="","",IF('Cash Flow %s Yr5'!F28="","",'Cash Flow %s Yr5'!F28*'Revenue Input'!$H24))</f>
        <v/>
      </c>
      <c r="G28" s="64" t="str">
        <f>IF('Revenue Input'!$H24="","",IF('Cash Flow %s Yr5'!G28="","",'Cash Flow %s Yr5'!G28*'Revenue Input'!$H24))</f>
        <v/>
      </c>
      <c r="H28" s="64" t="str">
        <f>IF('Revenue Input'!$H24="","",IF('Cash Flow %s Yr5'!H28="","",'Cash Flow %s Yr5'!H28*'Revenue Input'!$H24))</f>
        <v/>
      </c>
      <c r="I28" s="64" t="str">
        <f>IF('Revenue Input'!$H24="","",IF('Cash Flow %s Yr5'!I28="","",'Cash Flow %s Yr5'!I28*'Revenue Input'!$H24))</f>
        <v/>
      </c>
      <c r="J28" s="64" t="str">
        <f>IF('Revenue Input'!$H24="","",IF('Cash Flow %s Yr5'!J28="","",'Cash Flow %s Yr5'!J28*'Revenue Input'!$H24))</f>
        <v/>
      </c>
      <c r="K28" s="64" t="str">
        <f>IF('Revenue Input'!$H24="","",IF('Cash Flow %s Yr5'!K28="","",'Cash Flow %s Yr5'!K28*'Revenue Input'!$H24))</f>
        <v/>
      </c>
      <c r="L28" s="64" t="str">
        <f>IF('Revenue Input'!$H24="","",IF('Cash Flow %s Yr5'!L28="","",'Cash Flow %s Yr5'!L28*'Revenue Input'!$H24))</f>
        <v/>
      </c>
      <c r="M28" s="64" t="str">
        <f>IF('Revenue Input'!$H24="","",IF('Cash Flow %s Yr5'!M28="","",'Cash Flow %s Yr5'!M28*'Revenue Input'!$H24))</f>
        <v/>
      </c>
      <c r="N28" s="64" t="str">
        <f>IF('Revenue Input'!$H24="","",IF('Cash Flow %s Yr5'!N28="","",'Cash Flow %s Yr5'!N28*'Revenue Input'!$H24))</f>
        <v/>
      </c>
      <c r="O28" s="64" t="str">
        <f>IF('Revenue Input'!$H24="","",IF('Cash Flow %s Yr5'!O28="","",'Cash Flow %s Yr5'!O28*'Revenue Input'!$H24))</f>
        <v/>
      </c>
      <c r="P28" s="64" t="str">
        <f>IF('Revenue Input'!$H24="","",IF('Cash Flow %s Yr5'!P28="","",'Cash Flow %s Yr5'!P28*'Revenue Input'!$H24))</f>
        <v/>
      </c>
      <c r="Q28" s="64" t="str">
        <f>IF('Revenue Input'!$H24="","",IF('Cash Flow %s Yr5'!Q28="","",'Cash Flow %s Yr5'!Q28*'Revenue Input'!$H24))</f>
        <v/>
      </c>
      <c r="R28" s="64" t="str">
        <f>IF('Revenue Input'!$H24="","",IF('Cash Flow %s Yr5'!R28="","",'Cash Flow %s Yr5'!R28*'Revenue Input'!$H24))</f>
        <v/>
      </c>
      <c r="S28" s="111" t="str">
        <f>IF(SUM(D28:R28)&gt;0,SUM(D28:R28)/'Revenue Input'!$H24,"")</f>
        <v/>
      </c>
    </row>
    <row r="29" spans="1:19" s="31" customFormat="1" ht="18" x14ac:dyDescent="0.2">
      <c r="A29" s="47"/>
      <c r="B29" s="65" t="str">
        <f>'Revenue Input'!B25</f>
        <v>8292</v>
      </c>
      <c r="C29" s="65" t="str">
        <f>'Revenue Input'!C25</f>
        <v>Title II</v>
      </c>
      <c r="D29" s="64" t="str">
        <f>IF('Revenue Input'!$H25="","",IF('Cash Flow %s Yr5'!D29="","",'Cash Flow %s Yr5'!D29*'Revenue Input'!$H25))</f>
        <v/>
      </c>
      <c r="E29" s="64" t="str">
        <f>IF('Revenue Input'!$H25="","",IF('Cash Flow %s Yr5'!E29="","",'Cash Flow %s Yr5'!E29*'Revenue Input'!$H25))</f>
        <v/>
      </c>
      <c r="F29" s="64" t="str">
        <f>IF('Revenue Input'!$H25="","",IF('Cash Flow %s Yr5'!F29="","",'Cash Flow %s Yr5'!F29*'Revenue Input'!$H25))</f>
        <v/>
      </c>
      <c r="G29" s="64" t="str">
        <f>IF('Revenue Input'!$H25="","",IF('Cash Flow %s Yr5'!G29="","",'Cash Flow %s Yr5'!G29*'Revenue Input'!$H25))</f>
        <v/>
      </c>
      <c r="H29" s="64" t="str">
        <f>IF('Revenue Input'!$H25="","",IF('Cash Flow %s Yr5'!H29="","",'Cash Flow %s Yr5'!H29*'Revenue Input'!$H25))</f>
        <v/>
      </c>
      <c r="I29" s="64" t="str">
        <f>IF('Revenue Input'!$H25="","",IF('Cash Flow %s Yr5'!I29="","",'Cash Flow %s Yr5'!I29*'Revenue Input'!$H25))</f>
        <v/>
      </c>
      <c r="J29" s="64" t="str">
        <f>IF('Revenue Input'!$H25="","",IF('Cash Flow %s Yr5'!J29="","",'Cash Flow %s Yr5'!J29*'Revenue Input'!$H25))</f>
        <v/>
      </c>
      <c r="K29" s="64" t="str">
        <f>IF('Revenue Input'!$H25="","",IF('Cash Flow %s Yr5'!K29="","",'Cash Flow %s Yr5'!K29*'Revenue Input'!$H25))</f>
        <v/>
      </c>
      <c r="L29" s="64" t="str">
        <f>IF('Revenue Input'!$H25="","",IF('Cash Flow %s Yr5'!L29="","",'Cash Flow %s Yr5'!L29*'Revenue Input'!$H25))</f>
        <v/>
      </c>
      <c r="M29" s="64" t="str">
        <f>IF('Revenue Input'!$H25="","",IF('Cash Flow %s Yr5'!M29="","",'Cash Flow %s Yr5'!M29*'Revenue Input'!$H25))</f>
        <v/>
      </c>
      <c r="N29" s="64" t="str">
        <f>IF('Revenue Input'!$H25="","",IF('Cash Flow %s Yr5'!N29="","",'Cash Flow %s Yr5'!N29*'Revenue Input'!$H25))</f>
        <v/>
      </c>
      <c r="O29" s="64" t="str">
        <f>IF('Revenue Input'!$H25="","",IF('Cash Flow %s Yr5'!O29="","",'Cash Flow %s Yr5'!O29*'Revenue Input'!$H25))</f>
        <v/>
      </c>
      <c r="P29" s="64" t="str">
        <f>IF('Revenue Input'!$H25="","",IF('Cash Flow %s Yr5'!P29="","",'Cash Flow %s Yr5'!P29*'Revenue Input'!$H25))</f>
        <v/>
      </c>
      <c r="Q29" s="64" t="str">
        <f>IF('Revenue Input'!$H25="","",IF('Cash Flow %s Yr5'!Q29="","",'Cash Flow %s Yr5'!Q29*'Revenue Input'!$H25))</f>
        <v/>
      </c>
      <c r="R29" s="64" t="str">
        <f>IF('Revenue Input'!$H25="","",IF('Cash Flow %s Yr5'!R29="","",'Cash Flow %s Yr5'!R29*'Revenue Input'!$H25))</f>
        <v/>
      </c>
      <c r="S29" s="111" t="str">
        <f>IF(SUM(D29:R29)&gt;0,SUM(D29:R29)/'Revenue Input'!$H25,"")</f>
        <v/>
      </c>
    </row>
    <row r="30" spans="1:19" s="31" customFormat="1" ht="18" x14ac:dyDescent="0.2">
      <c r="A30" s="47"/>
      <c r="B30" s="65" t="str">
        <f>'Revenue Input'!B26</f>
        <v>8293</v>
      </c>
      <c r="C30" s="65" t="str">
        <f>'Revenue Input'!C26</f>
        <v>Title III</v>
      </c>
      <c r="D30" s="64" t="str">
        <f>IF('Revenue Input'!$H26="","",IF('Cash Flow %s Yr5'!D30="","",'Cash Flow %s Yr5'!D30*'Revenue Input'!$H26))</f>
        <v/>
      </c>
      <c r="E30" s="64" t="str">
        <f>IF('Revenue Input'!$H26="","",IF('Cash Flow %s Yr5'!E30="","",'Cash Flow %s Yr5'!E30*'Revenue Input'!$H26))</f>
        <v/>
      </c>
      <c r="F30" s="64" t="str">
        <f>IF('Revenue Input'!$H26="","",IF('Cash Flow %s Yr5'!F30="","",'Cash Flow %s Yr5'!F30*'Revenue Input'!$H26))</f>
        <v/>
      </c>
      <c r="G30" s="64" t="str">
        <f>IF('Revenue Input'!$H26="","",IF('Cash Flow %s Yr5'!G30="","",'Cash Flow %s Yr5'!G30*'Revenue Input'!$H26))</f>
        <v/>
      </c>
      <c r="H30" s="64" t="str">
        <f>IF('Revenue Input'!$H26="","",IF('Cash Flow %s Yr5'!H30="","",'Cash Flow %s Yr5'!H30*'Revenue Input'!$H26))</f>
        <v/>
      </c>
      <c r="I30" s="64" t="str">
        <f>IF('Revenue Input'!$H26="","",IF('Cash Flow %s Yr5'!I30="","",'Cash Flow %s Yr5'!I30*'Revenue Input'!$H26))</f>
        <v/>
      </c>
      <c r="J30" s="64" t="str">
        <f>IF('Revenue Input'!$H26="","",IF('Cash Flow %s Yr5'!J30="","",'Cash Flow %s Yr5'!J30*'Revenue Input'!$H26))</f>
        <v/>
      </c>
      <c r="K30" s="64" t="str">
        <f>IF('Revenue Input'!$H26="","",IF('Cash Flow %s Yr5'!K30="","",'Cash Flow %s Yr5'!K30*'Revenue Input'!$H26))</f>
        <v/>
      </c>
      <c r="L30" s="64" t="str">
        <f>IF('Revenue Input'!$H26="","",IF('Cash Flow %s Yr5'!L30="","",'Cash Flow %s Yr5'!L30*'Revenue Input'!$H26))</f>
        <v/>
      </c>
      <c r="M30" s="64" t="str">
        <f>IF('Revenue Input'!$H26="","",IF('Cash Flow %s Yr5'!M30="","",'Cash Flow %s Yr5'!M30*'Revenue Input'!$H26))</f>
        <v/>
      </c>
      <c r="N30" s="64" t="str">
        <f>IF('Revenue Input'!$H26="","",IF('Cash Flow %s Yr5'!N30="","",'Cash Flow %s Yr5'!N30*'Revenue Input'!$H26))</f>
        <v/>
      </c>
      <c r="O30" s="64" t="str">
        <f>IF('Revenue Input'!$H26="","",IF('Cash Flow %s Yr5'!O30="","",'Cash Flow %s Yr5'!O30*'Revenue Input'!$H26))</f>
        <v/>
      </c>
      <c r="P30" s="64" t="str">
        <f>IF('Revenue Input'!$H26="","",IF('Cash Flow %s Yr5'!P30="","",'Cash Flow %s Yr5'!P30*'Revenue Input'!$H26))</f>
        <v/>
      </c>
      <c r="Q30" s="64" t="str">
        <f>IF('Revenue Input'!$H26="","",IF('Cash Flow %s Yr5'!Q30="","",'Cash Flow %s Yr5'!Q30*'Revenue Input'!$H26))</f>
        <v/>
      </c>
      <c r="R30" s="64" t="str">
        <f>IF('Revenue Input'!$H26="","",IF('Cash Flow %s Yr5'!R30="","",'Cash Flow %s Yr5'!R30*'Revenue Input'!$H26))</f>
        <v/>
      </c>
      <c r="S30" s="111" t="str">
        <f>IF(SUM(D30:R30)&gt;0,SUM(D30:R30)/'Revenue Input'!$H26,"")</f>
        <v/>
      </c>
    </row>
    <row r="31" spans="1:19" s="31" customFormat="1" ht="18" x14ac:dyDescent="0.2">
      <c r="A31" s="47"/>
      <c r="B31" s="65" t="str">
        <f>'Revenue Input'!B27</f>
        <v>8294</v>
      </c>
      <c r="C31" s="65" t="str">
        <f>'Revenue Input'!C27</f>
        <v>Title IV</v>
      </c>
      <c r="D31" s="64" t="str">
        <f>IF('Revenue Input'!$H27="","",IF('Cash Flow %s Yr5'!D31="","",'Cash Flow %s Yr5'!D31*'Revenue Input'!$H27))</f>
        <v/>
      </c>
      <c r="E31" s="64" t="str">
        <f>IF('Revenue Input'!$H27="","",IF('Cash Flow %s Yr5'!E31="","",'Cash Flow %s Yr5'!E31*'Revenue Input'!$H27))</f>
        <v/>
      </c>
      <c r="F31" s="64" t="str">
        <f>IF('Revenue Input'!$H27="","",IF('Cash Flow %s Yr5'!F31="","",'Cash Flow %s Yr5'!F31*'Revenue Input'!$H27))</f>
        <v/>
      </c>
      <c r="G31" s="64" t="str">
        <f>IF('Revenue Input'!$H27="","",IF('Cash Flow %s Yr5'!G31="","",'Cash Flow %s Yr5'!G31*'Revenue Input'!$H27))</f>
        <v/>
      </c>
      <c r="H31" s="64" t="str">
        <f>IF('Revenue Input'!$H27="","",IF('Cash Flow %s Yr5'!H31="","",'Cash Flow %s Yr5'!H31*'Revenue Input'!$H27))</f>
        <v/>
      </c>
      <c r="I31" s="64" t="str">
        <f>IF('Revenue Input'!$H27="","",IF('Cash Flow %s Yr5'!I31="","",'Cash Flow %s Yr5'!I31*'Revenue Input'!$H27))</f>
        <v/>
      </c>
      <c r="J31" s="64" t="str">
        <f>IF('Revenue Input'!$H27="","",IF('Cash Flow %s Yr5'!J31="","",'Cash Flow %s Yr5'!J31*'Revenue Input'!$H27))</f>
        <v/>
      </c>
      <c r="K31" s="64" t="str">
        <f>IF('Revenue Input'!$H27="","",IF('Cash Flow %s Yr5'!K31="","",'Cash Flow %s Yr5'!K31*'Revenue Input'!$H27))</f>
        <v/>
      </c>
      <c r="L31" s="64" t="str">
        <f>IF('Revenue Input'!$H27="","",IF('Cash Flow %s Yr5'!L31="","",'Cash Flow %s Yr5'!L31*'Revenue Input'!$H27))</f>
        <v/>
      </c>
      <c r="M31" s="64" t="str">
        <f>IF('Revenue Input'!$H27="","",IF('Cash Flow %s Yr5'!M31="","",'Cash Flow %s Yr5'!M31*'Revenue Input'!$H27))</f>
        <v/>
      </c>
      <c r="N31" s="64" t="str">
        <f>IF('Revenue Input'!$H27="","",IF('Cash Flow %s Yr5'!N31="","",'Cash Flow %s Yr5'!N31*'Revenue Input'!$H27))</f>
        <v/>
      </c>
      <c r="O31" s="64" t="str">
        <f>IF('Revenue Input'!$H27="","",IF('Cash Flow %s Yr5'!O31="","",'Cash Flow %s Yr5'!O31*'Revenue Input'!$H27))</f>
        <v/>
      </c>
      <c r="P31" s="64" t="str">
        <f>IF('Revenue Input'!$H27="","",IF('Cash Flow %s Yr5'!P31="","",'Cash Flow %s Yr5'!P31*'Revenue Input'!$H27))</f>
        <v/>
      </c>
      <c r="Q31" s="64" t="str">
        <f>IF('Revenue Input'!$H27="","",IF('Cash Flow %s Yr5'!Q31="","",'Cash Flow %s Yr5'!Q31*'Revenue Input'!$H27))</f>
        <v/>
      </c>
      <c r="R31" s="64" t="str">
        <f>IF('Revenue Input'!$H27="","",IF('Cash Flow %s Yr5'!R31="","",'Cash Flow %s Yr5'!R31*'Revenue Input'!$H27))</f>
        <v/>
      </c>
      <c r="S31" s="111" t="str">
        <f>IF(SUM(D31:R31)&gt;0,SUM(D31:R31)/'Revenue Input'!$H27,"")</f>
        <v/>
      </c>
    </row>
    <row r="32" spans="1:19" s="31" customFormat="1" ht="18" x14ac:dyDescent="0.2">
      <c r="A32" s="47"/>
      <c r="B32" s="65" t="str">
        <f>'Revenue Input'!B28</f>
        <v>8295</v>
      </c>
      <c r="C32" s="65" t="str">
        <f>'Revenue Input'!C28</f>
        <v>Title V</v>
      </c>
      <c r="D32" s="64" t="str">
        <f>IF('Revenue Input'!$H28="","",IF('Cash Flow %s Yr5'!D32="","",'Cash Flow %s Yr5'!D32*'Revenue Input'!$H28))</f>
        <v/>
      </c>
      <c r="E32" s="64" t="str">
        <f>IF('Revenue Input'!$H28="","",IF('Cash Flow %s Yr5'!E32="","",'Cash Flow %s Yr5'!E32*'Revenue Input'!$H28))</f>
        <v/>
      </c>
      <c r="F32" s="64" t="str">
        <f>IF('Revenue Input'!$H28="","",IF('Cash Flow %s Yr5'!F32="","",'Cash Flow %s Yr5'!F32*'Revenue Input'!$H28))</f>
        <v/>
      </c>
      <c r="G32" s="64" t="str">
        <f>IF('Revenue Input'!$H28="","",IF('Cash Flow %s Yr5'!G32="","",'Cash Flow %s Yr5'!G32*'Revenue Input'!$H28))</f>
        <v/>
      </c>
      <c r="H32" s="64" t="str">
        <f>IF('Revenue Input'!$H28="","",IF('Cash Flow %s Yr5'!H32="","",'Cash Flow %s Yr5'!H32*'Revenue Input'!$H28))</f>
        <v/>
      </c>
      <c r="I32" s="64" t="str">
        <f>IF('Revenue Input'!$H28="","",IF('Cash Flow %s Yr5'!I32="","",'Cash Flow %s Yr5'!I32*'Revenue Input'!$H28))</f>
        <v/>
      </c>
      <c r="J32" s="64" t="str">
        <f>IF('Revenue Input'!$H28="","",IF('Cash Flow %s Yr5'!J32="","",'Cash Flow %s Yr5'!J32*'Revenue Input'!$H28))</f>
        <v/>
      </c>
      <c r="K32" s="64" t="str">
        <f>IF('Revenue Input'!$H28="","",IF('Cash Flow %s Yr5'!K32="","",'Cash Flow %s Yr5'!K32*'Revenue Input'!$H28))</f>
        <v/>
      </c>
      <c r="L32" s="64" t="str">
        <f>IF('Revenue Input'!$H28="","",IF('Cash Flow %s Yr5'!L32="","",'Cash Flow %s Yr5'!L32*'Revenue Input'!$H28))</f>
        <v/>
      </c>
      <c r="M32" s="64" t="str">
        <f>IF('Revenue Input'!$H28="","",IF('Cash Flow %s Yr5'!M32="","",'Cash Flow %s Yr5'!M32*'Revenue Input'!$H28))</f>
        <v/>
      </c>
      <c r="N32" s="64" t="str">
        <f>IF('Revenue Input'!$H28="","",IF('Cash Flow %s Yr5'!N32="","",'Cash Flow %s Yr5'!N32*'Revenue Input'!$H28))</f>
        <v/>
      </c>
      <c r="O32" s="64" t="str">
        <f>IF('Revenue Input'!$H28="","",IF('Cash Flow %s Yr5'!O32="","",'Cash Flow %s Yr5'!O32*'Revenue Input'!$H28))</f>
        <v/>
      </c>
      <c r="P32" s="64" t="str">
        <f>IF('Revenue Input'!$H28="","",IF('Cash Flow %s Yr5'!P32="","",'Cash Flow %s Yr5'!P32*'Revenue Input'!$H28))</f>
        <v/>
      </c>
      <c r="Q32" s="64" t="str">
        <f>IF('Revenue Input'!$H28="","",IF('Cash Flow %s Yr5'!Q32="","",'Cash Flow %s Yr5'!Q32*'Revenue Input'!$H28))</f>
        <v/>
      </c>
      <c r="R32" s="64" t="str">
        <f>IF('Revenue Input'!$H28="","",IF('Cash Flow %s Yr5'!R32="","",'Cash Flow %s Yr5'!R32*'Revenue Input'!$H28))</f>
        <v/>
      </c>
      <c r="S32" s="111" t="str">
        <f>IF(SUM(D32:R32)&gt;0,SUM(D32:R32)/'Revenue Input'!$H28,"")</f>
        <v/>
      </c>
    </row>
    <row r="33" spans="1:19" s="31" customFormat="1" ht="18" x14ac:dyDescent="0.2">
      <c r="A33" s="47"/>
      <c r="B33" s="65" t="str">
        <f>'Revenue Input'!B29</f>
        <v>8299</v>
      </c>
      <c r="C33" s="65" t="str">
        <f>'Revenue Input'!C29</f>
        <v>Prior Year Federal Revenue</v>
      </c>
      <c r="D33" s="64" t="str">
        <f>IF('Revenue Input'!$H29="","",IF('Cash Flow %s Yr5'!D33="","",'Cash Flow %s Yr5'!D33*'Revenue Input'!$H29))</f>
        <v/>
      </c>
      <c r="E33" s="64" t="str">
        <f>IF('Revenue Input'!$H29="","",IF('Cash Flow %s Yr5'!E33="","",'Cash Flow %s Yr5'!E33*'Revenue Input'!$H29))</f>
        <v/>
      </c>
      <c r="F33" s="64" t="str">
        <f>IF('Revenue Input'!$H29="","",IF('Cash Flow %s Yr5'!F33="","",'Cash Flow %s Yr5'!F33*'Revenue Input'!$H29))</f>
        <v/>
      </c>
      <c r="G33" s="64" t="str">
        <f>IF('Revenue Input'!$H29="","",IF('Cash Flow %s Yr5'!G33="","",'Cash Flow %s Yr5'!G33*'Revenue Input'!$H29))</f>
        <v/>
      </c>
      <c r="H33" s="64" t="str">
        <f>IF('Revenue Input'!$H29="","",IF('Cash Flow %s Yr5'!H33="","",'Cash Flow %s Yr5'!H33*'Revenue Input'!$H29))</f>
        <v/>
      </c>
      <c r="I33" s="64" t="str">
        <f>IF('Revenue Input'!$H29="","",IF('Cash Flow %s Yr5'!I33="","",'Cash Flow %s Yr5'!I33*'Revenue Input'!$H29))</f>
        <v/>
      </c>
      <c r="J33" s="64" t="str">
        <f>IF('Revenue Input'!$H29="","",IF('Cash Flow %s Yr5'!J33="","",'Cash Flow %s Yr5'!J33*'Revenue Input'!$H29))</f>
        <v/>
      </c>
      <c r="K33" s="64" t="str">
        <f>IF('Revenue Input'!$H29="","",IF('Cash Flow %s Yr5'!K33="","",'Cash Flow %s Yr5'!K33*'Revenue Input'!$H29))</f>
        <v/>
      </c>
      <c r="L33" s="64" t="str">
        <f>IF('Revenue Input'!$H29="","",IF('Cash Flow %s Yr5'!L33="","",'Cash Flow %s Yr5'!L33*'Revenue Input'!$H29))</f>
        <v/>
      </c>
      <c r="M33" s="64" t="str">
        <f>IF('Revenue Input'!$H29="","",IF('Cash Flow %s Yr5'!M33="","",'Cash Flow %s Yr5'!M33*'Revenue Input'!$H29))</f>
        <v/>
      </c>
      <c r="N33" s="64" t="str">
        <f>IF('Revenue Input'!$H29="","",IF('Cash Flow %s Yr5'!N33="","",'Cash Flow %s Yr5'!N33*'Revenue Input'!$H29))</f>
        <v/>
      </c>
      <c r="O33" s="64" t="str">
        <f>IF('Revenue Input'!$H29="","",IF('Cash Flow %s Yr5'!O33="","",'Cash Flow %s Yr5'!O33*'Revenue Input'!$H29))</f>
        <v/>
      </c>
      <c r="P33" s="64" t="str">
        <f>IF('Revenue Input'!$H29="","",IF('Cash Flow %s Yr5'!P33="","",'Cash Flow %s Yr5'!P33*'Revenue Input'!$H29))</f>
        <v/>
      </c>
      <c r="Q33" s="64" t="str">
        <f>IF('Revenue Input'!$H29="","",IF('Cash Flow %s Yr5'!Q33="","",'Cash Flow %s Yr5'!Q33*'Revenue Input'!$H29))</f>
        <v/>
      </c>
      <c r="R33" s="64" t="str">
        <f>IF('Revenue Input'!$H29="","",IF('Cash Flow %s Yr5'!R33="","",'Cash Flow %s Yr5'!R33*'Revenue Input'!$H29))</f>
        <v/>
      </c>
      <c r="S33" s="111" t="str">
        <f>IF(SUM(D33:R33)&gt;0,SUM(D33:R33)/'Revenue Input'!$H29,"")</f>
        <v/>
      </c>
    </row>
    <row r="34" spans="1:19" s="31" customFormat="1" ht="18" x14ac:dyDescent="0.2">
      <c r="A34" s="47"/>
      <c r="B34" s="73"/>
      <c r="C34" s="34" t="s">
        <v>721</v>
      </c>
      <c r="D34" s="172">
        <f>SUM(D26:D33)</f>
        <v>0</v>
      </c>
      <c r="E34" s="172">
        <f t="shared" ref="E34:R34" si="1">SUM(E26:E33)</f>
        <v>0</v>
      </c>
      <c r="F34" s="172">
        <f t="shared" si="1"/>
        <v>0</v>
      </c>
      <c r="G34" s="172">
        <f t="shared" si="1"/>
        <v>0</v>
      </c>
      <c r="H34" s="172">
        <f t="shared" si="1"/>
        <v>0</v>
      </c>
      <c r="I34" s="172">
        <f t="shared" si="1"/>
        <v>0</v>
      </c>
      <c r="J34" s="172">
        <f t="shared" si="1"/>
        <v>0</v>
      </c>
      <c r="K34" s="172">
        <f t="shared" si="1"/>
        <v>0</v>
      </c>
      <c r="L34" s="172">
        <f t="shared" si="1"/>
        <v>0</v>
      </c>
      <c r="M34" s="172">
        <f t="shared" si="1"/>
        <v>0</v>
      </c>
      <c r="N34" s="172">
        <f t="shared" si="1"/>
        <v>0</v>
      </c>
      <c r="O34" s="172">
        <f t="shared" si="1"/>
        <v>0</v>
      </c>
      <c r="P34" s="172">
        <f t="shared" si="1"/>
        <v>0</v>
      </c>
      <c r="Q34" s="172">
        <f t="shared" si="1"/>
        <v>0</v>
      </c>
      <c r="R34" s="172">
        <f t="shared" si="1"/>
        <v>0</v>
      </c>
      <c r="S34" s="107"/>
    </row>
    <row r="35" spans="1:19" s="31" customFormat="1" ht="18" x14ac:dyDescent="0.2">
      <c r="A35" s="47"/>
      <c r="B35" s="72"/>
      <c r="C35" s="50"/>
      <c r="D35" s="126"/>
      <c r="E35" s="126"/>
      <c r="F35" s="126"/>
      <c r="G35" s="126"/>
      <c r="H35" s="126"/>
      <c r="I35" s="126"/>
      <c r="J35" s="126"/>
      <c r="K35" s="126"/>
      <c r="L35" s="126"/>
      <c r="M35" s="126"/>
      <c r="N35" s="126"/>
      <c r="O35" s="126"/>
      <c r="P35" s="126"/>
      <c r="Q35" s="126"/>
      <c r="R35" s="126"/>
    </row>
    <row r="36" spans="1:19" s="31" customFormat="1" ht="18" x14ac:dyDescent="0.2">
      <c r="B36" s="47" t="s">
        <v>795</v>
      </c>
      <c r="C36" s="50"/>
      <c r="D36" s="126"/>
      <c r="E36" s="126"/>
      <c r="F36" s="126"/>
      <c r="G36" s="126"/>
      <c r="H36" s="126"/>
      <c r="I36" s="126"/>
      <c r="J36" s="126"/>
      <c r="K36" s="126"/>
      <c r="L36" s="126"/>
      <c r="M36" s="126"/>
      <c r="N36" s="126"/>
      <c r="O36" s="126"/>
      <c r="P36" s="126"/>
      <c r="Q36" s="126"/>
      <c r="R36" s="126"/>
    </row>
    <row r="37" spans="1:19" s="31" customFormat="1" ht="18" x14ac:dyDescent="0.2">
      <c r="A37" s="47"/>
      <c r="B37" s="65" t="str">
        <f>'Revenue Input'!B33</f>
        <v>8660</v>
      </c>
      <c r="C37" s="65" t="str">
        <f>'Revenue Input'!C33</f>
        <v>Interest</v>
      </c>
      <c r="D37" s="64">
        <f>IF('Revenue Input'!$H33="","",IF('Cash Flow %s Yr5'!D37="","",'Cash Flow %s Yr5'!D37*'Revenue Input'!$H33))</f>
        <v>83</v>
      </c>
      <c r="E37" s="64">
        <f>IF('Revenue Input'!$H33="","",IF('Cash Flow %s Yr5'!E37="","",'Cash Flow %s Yr5'!E37*'Revenue Input'!$H33))</f>
        <v>83</v>
      </c>
      <c r="F37" s="64">
        <f>IF('Revenue Input'!$H33="","",IF('Cash Flow %s Yr5'!F37="","",'Cash Flow %s Yr5'!F37*'Revenue Input'!$H33))</f>
        <v>83</v>
      </c>
      <c r="G37" s="64">
        <f>IF('Revenue Input'!$H33="","",IF('Cash Flow %s Yr5'!G37="","",'Cash Flow %s Yr5'!G37*'Revenue Input'!$H33))</f>
        <v>83</v>
      </c>
      <c r="H37" s="64">
        <f>IF('Revenue Input'!$H33="","",IF('Cash Flow %s Yr5'!H37="","",'Cash Flow %s Yr5'!H37*'Revenue Input'!$H33))</f>
        <v>83</v>
      </c>
      <c r="I37" s="64">
        <f>IF('Revenue Input'!$H33="","",IF('Cash Flow %s Yr5'!I37="","",'Cash Flow %s Yr5'!I37*'Revenue Input'!$H33))</f>
        <v>83</v>
      </c>
      <c r="J37" s="64">
        <f>IF('Revenue Input'!$H33="","",IF('Cash Flow %s Yr5'!J37="","",'Cash Flow %s Yr5'!J37*'Revenue Input'!$H33))</f>
        <v>83</v>
      </c>
      <c r="K37" s="64">
        <f>IF('Revenue Input'!$H33="","",IF('Cash Flow %s Yr5'!K37="","",'Cash Flow %s Yr5'!K37*'Revenue Input'!$H33))</f>
        <v>83</v>
      </c>
      <c r="L37" s="64">
        <f>IF('Revenue Input'!$H33="","",IF('Cash Flow %s Yr5'!L37="","",'Cash Flow %s Yr5'!L37*'Revenue Input'!$H33))</f>
        <v>84</v>
      </c>
      <c r="M37" s="64">
        <f>IF('Revenue Input'!$H33="","",IF('Cash Flow %s Yr5'!M37="","",'Cash Flow %s Yr5'!M37*'Revenue Input'!$H33))</f>
        <v>84</v>
      </c>
      <c r="N37" s="64">
        <f>IF('Revenue Input'!$H33="","",IF('Cash Flow %s Yr5'!N37="","",'Cash Flow %s Yr5'!N37*'Revenue Input'!$H33))</f>
        <v>84</v>
      </c>
      <c r="O37" s="64">
        <f>IF('Revenue Input'!$H33="","",IF('Cash Flow %s Yr5'!O37="","",'Cash Flow %s Yr5'!O37*'Revenue Input'!$H33))</f>
        <v>84</v>
      </c>
      <c r="P37" s="64">
        <f>IF('Revenue Input'!$H33="","",IF('Cash Flow %s Yr5'!P37="","",'Cash Flow %s Yr5'!P37*'Revenue Input'!$H33))</f>
        <v>0</v>
      </c>
      <c r="Q37" s="64">
        <f>IF('Revenue Input'!$H33="","",IF('Cash Flow %s Yr5'!Q37="","",'Cash Flow %s Yr5'!Q37*'Revenue Input'!$H33))</f>
        <v>0</v>
      </c>
      <c r="R37" s="64">
        <f>IF('Revenue Input'!$H33="","",IF('Cash Flow %s Yr5'!R37="","",'Cash Flow %s Yr5'!R37*'Revenue Input'!$H33))</f>
        <v>0</v>
      </c>
      <c r="S37" s="111">
        <f>IF(SUM(D37:R37)&gt;0,SUM(D37:R37)/'Revenue Input'!$H33,"")</f>
        <v>1</v>
      </c>
    </row>
    <row r="38" spans="1:19" s="31" customFormat="1" ht="18" x14ac:dyDescent="0.2">
      <c r="A38" s="47"/>
      <c r="B38" s="65" t="str">
        <f>'Revenue Input'!B34</f>
        <v>8782</v>
      </c>
      <c r="C38" s="65" t="str">
        <f>'Revenue Input'!C34</f>
        <v>All Other Transfers from County Offices</v>
      </c>
      <c r="D38" s="64" t="str">
        <f>IF('Revenue Input'!$H34="","",IF('Cash Flow %s Yr5'!D38="","",'Cash Flow %s Yr5'!D38*'Revenue Input'!$H34))</f>
        <v/>
      </c>
      <c r="E38" s="64" t="str">
        <f>IF('Revenue Input'!$H34="","",IF('Cash Flow %s Yr5'!E38="","",'Cash Flow %s Yr5'!E38*'Revenue Input'!$H34))</f>
        <v/>
      </c>
      <c r="F38" s="64" t="str">
        <f>IF('Revenue Input'!$H34="","",IF('Cash Flow %s Yr5'!F38="","",'Cash Flow %s Yr5'!F38*'Revenue Input'!$H34))</f>
        <v/>
      </c>
      <c r="G38" s="64" t="str">
        <f>IF('Revenue Input'!$H34="","",IF('Cash Flow %s Yr5'!G38="","",'Cash Flow %s Yr5'!G38*'Revenue Input'!$H34))</f>
        <v/>
      </c>
      <c r="H38" s="64" t="str">
        <f>IF('Revenue Input'!$H34="","",IF('Cash Flow %s Yr5'!H38="","",'Cash Flow %s Yr5'!H38*'Revenue Input'!$H34))</f>
        <v/>
      </c>
      <c r="I38" s="64" t="str">
        <f>IF('Revenue Input'!$H34="","",IF('Cash Flow %s Yr5'!I38="","",'Cash Flow %s Yr5'!I38*'Revenue Input'!$H34))</f>
        <v/>
      </c>
      <c r="J38" s="64" t="str">
        <f>IF('Revenue Input'!$H34="","",IF('Cash Flow %s Yr5'!J38="","",'Cash Flow %s Yr5'!J38*'Revenue Input'!$H34))</f>
        <v/>
      </c>
      <c r="K38" s="64" t="str">
        <f>IF('Revenue Input'!$H34="","",IF('Cash Flow %s Yr5'!K38="","",'Cash Flow %s Yr5'!K38*'Revenue Input'!$H34))</f>
        <v/>
      </c>
      <c r="L38" s="64" t="str">
        <f>IF('Revenue Input'!$H34="","",IF('Cash Flow %s Yr5'!L38="","",'Cash Flow %s Yr5'!L38*'Revenue Input'!$H34))</f>
        <v/>
      </c>
      <c r="M38" s="64" t="str">
        <f>IF('Revenue Input'!$H34="","",IF('Cash Flow %s Yr5'!M38="","",'Cash Flow %s Yr5'!M38*'Revenue Input'!$H34))</f>
        <v/>
      </c>
      <c r="N38" s="64" t="str">
        <f>IF('Revenue Input'!$H34="","",IF('Cash Flow %s Yr5'!N38="","",'Cash Flow %s Yr5'!N38*'Revenue Input'!$H34))</f>
        <v/>
      </c>
      <c r="O38" s="64" t="str">
        <f>IF('Revenue Input'!$H34="","",IF('Cash Flow %s Yr5'!O38="","",'Cash Flow %s Yr5'!O38*'Revenue Input'!$H34))</f>
        <v/>
      </c>
      <c r="P38" s="64" t="str">
        <f>IF('Revenue Input'!$H34="","",IF('Cash Flow %s Yr5'!P38="","",'Cash Flow %s Yr5'!P38*'Revenue Input'!$H34))</f>
        <v/>
      </c>
      <c r="Q38" s="64" t="str">
        <f>IF('Revenue Input'!$H34="","",IF('Cash Flow %s Yr5'!Q38="","",'Cash Flow %s Yr5'!Q38*'Revenue Input'!$H34))</f>
        <v/>
      </c>
      <c r="R38" s="64" t="str">
        <f>IF('Revenue Input'!$H34="","",IF('Cash Flow %s Yr5'!R38="","",'Cash Flow %s Yr5'!R38*'Revenue Input'!$H34))</f>
        <v/>
      </c>
      <c r="S38" s="111" t="str">
        <f>IF(SUM(D38:R38)&gt;0,SUM(D38:R38)/'Revenue Input'!$H34,"")</f>
        <v/>
      </c>
    </row>
    <row r="39" spans="1:19" s="31" customFormat="1" ht="18" x14ac:dyDescent="0.2">
      <c r="A39" s="47"/>
      <c r="B39" s="65" t="str">
        <f>'Revenue Input'!B35</f>
        <v>8784</v>
      </c>
      <c r="C39" s="65" t="str">
        <f>'Revenue Input'!C35</f>
        <v>All Other Transfers from Other Locations</v>
      </c>
      <c r="D39" s="64" t="str">
        <f>IF('Revenue Input'!$H35="","",IF('Cash Flow %s Yr5'!D39="","",'Cash Flow %s Yr5'!D39*'Revenue Input'!$H35))</f>
        <v/>
      </c>
      <c r="E39" s="64" t="str">
        <f>IF('Revenue Input'!$H35="","",IF('Cash Flow %s Yr5'!E39="","",'Cash Flow %s Yr5'!E39*'Revenue Input'!$H35))</f>
        <v/>
      </c>
      <c r="F39" s="64" t="str">
        <f>IF('Revenue Input'!$H35="","",IF('Cash Flow %s Yr5'!F39="","",'Cash Flow %s Yr5'!F39*'Revenue Input'!$H35))</f>
        <v/>
      </c>
      <c r="G39" s="64" t="str">
        <f>IF('Revenue Input'!$H35="","",IF('Cash Flow %s Yr5'!G39="","",'Cash Flow %s Yr5'!G39*'Revenue Input'!$H35))</f>
        <v/>
      </c>
      <c r="H39" s="64" t="str">
        <f>IF('Revenue Input'!$H35="","",IF('Cash Flow %s Yr5'!H39="","",'Cash Flow %s Yr5'!H39*'Revenue Input'!$H35))</f>
        <v/>
      </c>
      <c r="I39" s="64" t="str">
        <f>IF('Revenue Input'!$H35="","",IF('Cash Flow %s Yr5'!I39="","",'Cash Flow %s Yr5'!I39*'Revenue Input'!$H35))</f>
        <v/>
      </c>
      <c r="J39" s="64" t="str">
        <f>IF('Revenue Input'!$H35="","",IF('Cash Flow %s Yr5'!J39="","",'Cash Flow %s Yr5'!J39*'Revenue Input'!$H35))</f>
        <v/>
      </c>
      <c r="K39" s="64" t="str">
        <f>IF('Revenue Input'!$H35="","",IF('Cash Flow %s Yr5'!K39="","",'Cash Flow %s Yr5'!K39*'Revenue Input'!$H35))</f>
        <v/>
      </c>
      <c r="L39" s="64" t="str">
        <f>IF('Revenue Input'!$H35="","",IF('Cash Flow %s Yr5'!L39="","",'Cash Flow %s Yr5'!L39*'Revenue Input'!$H35))</f>
        <v/>
      </c>
      <c r="M39" s="64" t="str">
        <f>IF('Revenue Input'!$H35="","",IF('Cash Flow %s Yr5'!M39="","",'Cash Flow %s Yr5'!M39*'Revenue Input'!$H35))</f>
        <v/>
      </c>
      <c r="N39" s="64" t="str">
        <f>IF('Revenue Input'!$H35="","",IF('Cash Flow %s Yr5'!N39="","",'Cash Flow %s Yr5'!N39*'Revenue Input'!$H35))</f>
        <v/>
      </c>
      <c r="O39" s="64" t="str">
        <f>IF('Revenue Input'!$H35="","",IF('Cash Flow %s Yr5'!O39="","",'Cash Flow %s Yr5'!O39*'Revenue Input'!$H35))</f>
        <v/>
      </c>
      <c r="P39" s="64" t="str">
        <f>IF('Revenue Input'!$H35="","",IF('Cash Flow %s Yr5'!P39="","",'Cash Flow %s Yr5'!P39*'Revenue Input'!$H35))</f>
        <v/>
      </c>
      <c r="Q39" s="64" t="str">
        <f>IF('Revenue Input'!$H35="","",IF('Cash Flow %s Yr5'!Q39="","",'Cash Flow %s Yr5'!Q39*'Revenue Input'!$H35))</f>
        <v/>
      </c>
      <c r="R39" s="64" t="str">
        <f>IF('Revenue Input'!$H35="","",IF('Cash Flow %s Yr5'!R39="","",'Cash Flow %s Yr5'!R39*'Revenue Input'!$H35))</f>
        <v/>
      </c>
      <c r="S39" s="111" t="str">
        <f>IF(SUM(D39:R39)&gt;0,SUM(D39:R39)/'Revenue Input'!$H35,"")</f>
        <v/>
      </c>
    </row>
    <row r="40" spans="1:19" s="31" customFormat="1" x14ac:dyDescent="0.2">
      <c r="A40" s="49"/>
      <c r="B40" s="65" t="str">
        <f>'Revenue Input'!B36</f>
        <v>8785</v>
      </c>
      <c r="C40" s="65" t="str">
        <f>'Revenue Input'!C36</f>
        <v>CMO Management fee</v>
      </c>
      <c r="D40" s="64" t="str">
        <f>IF('Revenue Input'!$H36="","",IF('Cash Flow %s Yr5'!D40="","",'Cash Flow %s Yr5'!D40*'Revenue Input'!$H36))</f>
        <v/>
      </c>
      <c r="E40" s="64" t="str">
        <f>IF('Revenue Input'!$H36="","",IF('Cash Flow %s Yr5'!E40="","",'Cash Flow %s Yr5'!E40*'Revenue Input'!$H36))</f>
        <v/>
      </c>
      <c r="F40" s="64" t="str">
        <f>IF('Revenue Input'!$H36="","",IF('Cash Flow %s Yr5'!F40="","",'Cash Flow %s Yr5'!F40*'Revenue Input'!$H36))</f>
        <v/>
      </c>
      <c r="G40" s="64" t="str">
        <f>IF('Revenue Input'!$H36="","",IF('Cash Flow %s Yr5'!G40="","",'Cash Flow %s Yr5'!G40*'Revenue Input'!$H36))</f>
        <v/>
      </c>
      <c r="H40" s="64" t="str">
        <f>IF('Revenue Input'!$H36="","",IF('Cash Flow %s Yr5'!H40="","",'Cash Flow %s Yr5'!H40*'Revenue Input'!$H36))</f>
        <v/>
      </c>
      <c r="I40" s="64" t="str">
        <f>IF('Revenue Input'!$H36="","",IF('Cash Flow %s Yr5'!I40="","",'Cash Flow %s Yr5'!I40*'Revenue Input'!$H36))</f>
        <v/>
      </c>
      <c r="J40" s="64" t="str">
        <f>IF('Revenue Input'!$H36="","",IF('Cash Flow %s Yr5'!J40="","",'Cash Flow %s Yr5'!J40*'Revenue Input'!$H36))</f>
        <v/>
      </c>
      <c r="K40" s="64" t="str">
        <f>IF('Revenue Input'!$H36="","",IF('Cash Flow %s Yr5'!K40="","",'Cash Flow %s Yr5'!K40*'Revenue Input'!$H36))</f>
        <v/>
      </c>
      <c r="L40" s="64" t="str">
        <f>IF('Revenue Input'!$H36="","",IF('Cash Flow %s Yr5'!L40="","",'Cash Flow %s Yr5'!L40*'Revenue Input'!$H36))</f>
        <v/>
      </c>
      <c r="M40" s="64" t="str">
        <f>IF('Revenue Input'!$H36="","",IF('Cash Flow %s Yr5'!M40="","",'Cash Flow %s Yr5'!M40*'Revenue Input'!$H36))</f>
        <v/>
      </c>
      <c r="N40" s="64" t="str">
        <f>IF('Revenue Input'!$H36="","",IF('Cash Flow %s Yr5'!N40="","",'Cash Flow %s Yr5'!N40*'Revenue Input'!$H36))</f>
        <v/>
      </c>
      <c r="O40" s="64" t="str">
        <f>IF('Revenue Input'!$H36="","",IF('Cash Flow %s Yr5'!O40="","",'Cash Flow %s Yr5'!O40*'Revenue Input'!$H36))</f>
        <v/>
      </c>
      <c r="P40" s="64" t="str">
        <f>IF('Revenue Input'!$H36="","",IF('Cash Flow %s Yr5'!P40="","",'Cash Flow %s Yr5'!P40*'Revenue Input'!$H36))</f>
        <v/>
      </c>
      <c r="Q40" s="64" t="str">
        <f>IF('Revenue Input'!$H36="","",IF('Cash Flow %s Yr5'!Q40="","",'Cash Flow %s Yr5'!Q40*'Revenue Input'!$H36))</f>
        <v/>
      </c>
      <c r="R40" s="64" t="str">
        <f>IF('Revenue Input'!$H36="","",IF('Cash Flow %s Yr5'!R40="","",'Cash Flow %s Yr5'!R40*'Revenue Input'!$H36))</f>
        <v/>
      </c>
      <c r="S40" s="111" t="str">
        <f>IF(SUM(D40:R40)&gt;0,SUM(D40:R40)/'Revenue Input'!$H36,"")</f>
        <v/>
      </c>
    </row>
    <row r="41" spans="1:19" s="31" customFormat="1" x14ac:dyDescent="0.2">
      <c r="A41" s="50"/>
      <c r="B41" s="65" t="str">
        <f>'Revenue Input'!B37</f>
        <v>8792</v>
      </c>
      <c r="C41" s="65" t="str">
        <f>'Revenue Input'!C37</f>
        <v>Special Ed - AB 602</v>
      </c>
      <c r="D41" s="64" t="str">
        <f>IF('Revenue Input'!$H37="","",IF('Cash Flow %s Yr5'!D41="","",'Cash Flow %s Yr5'!D41*'Revenue Input'!$H37))</f>
        <v/>
      </c>
      <c r="E41" s="64" t="str">
        <f>IF('Revenue Input'!$H37="","",IF('Cash Flow %s Yr5'!E41="","",'Cash Flow %s Yr5'!E41*'Revenue Input'!$H37))</f>
        <v/>
      </c>
      <c r="F41" s="64" t="str">
        <f>IF('Revenue Input'!$H37="","",IF('Cash Flow %s Yr5'!F41="","",'Cash Flow %s Yr5'!F41*'Revenue Input'!$H37))</f>
        <v/>
      </c>
      <c r="G41" s="64" t="str">
        <f>IF('Revenue Input'!$H37="","",IF('Cash Flow %s Yr5'!G41="","",'Cash Flow %s Yr5'!G41*'Revenue Input'!$H37))</f>
        <v/>
      </c>
      <c r="H41" s="64" t="str">
        <f>IF('Revenue Input'!$H37="","",IF('Cash Flow %s Yr5'!H41="","",'Cash Flow %s Yr5'!H41*'Revenue Input'!$H37))</f>
        <v/>
      </c>
      <c r="I41" s="64" t="str">
        <f>IF('Revenue Input'!$H37="","",IF('Cash Flow %s Yr5'!I41="","",'Cash Flow %s Yr5'!I41*'Revenue Input'!$H37))</f>
        <v/>
      </c>
      <c r="J41" s="64" t="str">
        <f>IF('Revenue Input'!$H37="","",IF('Cash Flow %s Yr5'!J41="","",'Cash Flow %s Yr5'!J41*'Revenue Input'!$H37))</f>
        <v/>
      </c>
      <c r="K41" s="64" t="str">
        <f>IF('Revenue Input'!$H37="","",IF('Cash Flow %s Yr5'!K41="","",'Cash Flow %s Yr5'!K41*'Revenue Input'!$H37))</f>
        <v/>
      </c>
      <c r="L41" s="64" t="str">
        <f>IF('Revenue Input'!$H37="","",IF('Cash Flow %s Yr5'!L41="","",'Cash Flow %s Yr5'!L41*'Revenue Input'!$H37))</f>
        <v/>
      </c>
      <c r="M41" s="64" t="str">
        <f>IF('Revenue Input'!$H37="","",IF('Cash Flow %s Yr5'!M41="","",'Cash Flow %s Yr5'!M41*'Revenue Input'!$H37))</f>
        <v/>
      </c>
      <c r="N41" s="64" t="str">
        <f>IF('Revenue Input'!$H37="","",IF('Cash Flow %s Yr5'!N41="","",'Cash Flow %s Yr5'!N41*'Revenue Input'!$H37))</f>
        <v/>
      </c>
      <c r="O41" s="64" t="str">
        <f>IF('Revenue Input'!$H37="","",IF('Cash Flow %s Yr5'!O41="","",'Cash Flow %s Yr5'!O41*'Revenue Input'!$H37))</f>
        <v/>
      </c>
      <c r="P41" s="64" t="str">
        <f>IF('Revenue Input'!$H37="","",IF('Cash Flow %s Yr5'!P41="","",'Cash Flow %s Yr5'!P41*'Revenue Input'!$H37))</f>
        <v/>
      </c>
      <c r="Q41" s="64" t="str">
        <f>IF('Revenue Input'!$H37="","",IF('Cash Flow %s Yr5'!Q41="","",'Cash Flow %s Yr5'!Q41*'Revenue Input'!$H37))</f>
        <v/>
      </c>
      <c r="R41" s="64" t="str">
        <f>IF('Revenue Input'!$H37="","",IF('Cash Flow %s Yr5'!R41="","",'Cash Flow %s Yr5'!R41*'Revenue Input'!$H37))</f>
        <v/>
      </c>
      <c r="S41" s="111" t="str">
        <f>IF(SUM(D41:R41)&gt;0,SUM(D41:R41)/'Revenue Input'!$H37,"")</f>
        <v/>
      </c>
    </row>
    <row r="42" spans="1:19" s="31" customFormat="1" ht="18" x14ac:dyDescent="0.2">
      <c r="A42" s="47"/>
      <c r="B42" s="65" t="str">
        <f>'Revenue Input'!B38</f>
        <v>8980</v>
      </c>
      <c r="C42" s="65" t="str">
        <f>'Revenue Input'!C38</f>
        <v>Student Lunch Revenue</v>
      </c>
      <c r="D42" s="64" t="str">
        <f>IF('Revenue Input'!$H38="","",IF('Cash Flow %s Yr5'!D42="","",'Cash Flow %s Yr5'!D42*'Revenue Input'!$H38))</f>
        <v/>
      </c>
      <c r="E42" s="64" t="str">
        <f>IF('Revenue Input'!$H38="","",IF('Cash Flow %s Yr5'!E42="","",'Cash Flow %s Yr5'!E42*'Revenue Input'!$H38))</f>
        <v/>
      </c>
      <c r="F42" s="64" t="str">
        <f>IF('Revenue Input'!$H38="","",IF('Cash Flow %s Yr5'!F42="","",'Cash Flow %s Yr5'!F42*'Revenue Input'!$H38))</f>
        <v/>
      </c>
      <c r="G42" s="64" t="str">
        <f>IF('Revenue Input'!$H38="","",IF('Cash Flow %s Yr5'!G42="","",'Cash Flow %s Yr5'!G42*'Revenue Input'!$H38))</f>
        <v/>
      </c>
      <c r="H42" s="64" t="str">
        <f>IF('Revenue Input'!$H38="","",IF('Cash Flow %s Yr5'!H42="","",'Cash Flow %s Yr5'!H42*'Revenue Input'!$H38))</f>
        <v/>
      </c>
      <c r="I42" s="64" t="str">
        <f>IF('Revenue Input'!$H38="","",IF('Cash Flow %s Yr5'!I42="","",'Cash Flow %s Yr5'!I42*'Revenue Input'!$H38))</f>
        <v/>
      </c>
      <c r="J42" s="64" t="str">
        <f>IF('Revenue Input'!$H38="","",IF('Cash Flow %s Yr5'!J42="","",'Cash Flow %s Yr5'!J42*'Revenue Input'!$H38))</f>
        <v/>
      </c>
      <c r="K42" s="64" t="str">
        <f>IF('Revenue Input'!$H38="","",IF('Cash Flow %s Yr5'!K42="","",'Cash Flow %s Yr5'!K42*'Revenue Input'!$H38))</f>
        <v/>
      </c>
      <c r="L42" s="64" t="str">
        <f>IF('Revenue Input'!$H38="","",IF('Cash Flow %s Yr5'!L42="","",'Cash Flow %s Yr5'!L42*'Revenue Input'!$H38))</f>
        <v/>
      </c>
      <c r="M42" s="64" t="str">
        <f>IF('Revenue Input'!$H38="","",IF('Cash Flow %s Yr5'!M42="","",'Cash Flow %s Yr5'!M42*'Revenue Input'!$H38))</f>
        <v/>
      </c>
      <c r="N42" s="64" t="str">
        <f>IF('Revenue Input'!$H38="","",IF('Cash Flow %s Yr5'!N42="","",'Cash Flow %s Yr5'!N42*'Revenue Input'!$H38))</f>
        <v/>
      </c>
      <c r="O42" s="64" t="str">
        <f>IF('Revenue Input'!$H38="","",IF('Cash Flow %s Yr5'!O42="","",'Cash Flow %s Yr5'!O42*'Revenue Input'!$H38))</f>
        <v/>
      </c>
      <c r="P42" s="64" t="str">
        <f>IF('Revenue Input'!$H38="","",IF('Cash Flow %s Yr5'!P42="","",'Cash Flow %s Yr5'!P42*'Revenue Input'!$H38))</f>
        <v/>
      </c>
      <c r="Q42" s="64" t="str">
        <f>IF('Revenue Input'!$H38="","",IF('Cash Flow %s Yr5'!Q42="","",'Cash Flow %s Yr5'!Q42*'Revenue Input'!$H38))</f>
        <v/>
      </c>
      <c r="R42" s="64" t="str">
        <f>IF('Revenue Input'!$H38="","",IF('Cash Flow %s Yr5'!R42="","",'Cash Flow %s Yr5'!R42*'Revenue Input'!$H38))</f>
        <v/>
      </c>
      <c r="S42" s="111" t="str">
        <f>IF(SUM(D42:R42)&gt;0,SUM(D42:R42)/'Revenue Input'!$H38,"")</f>
        <v/>
      </c>
    </row>
    <row r="43" spans="1:19" s="31" customFormat="1" ht="18" x14ac:dyDescent="0.2">
      <c r="A43" s="47"/>
      <c r="B43" s="65" t="str">
        <f>'Revenue Input'!B39</f>
        <v>8982</v>
      </c>
      <c r="C43" s="65" t="str">
        <f>'Revenue Input'!C39</f>
        <v>Foundation Grants</v>
      </c>
      <c r="D43" s="64" t="str">
        <f>IF('Revenue Input'!$H39="","",IF('Cash Flow %s Yr5'!D43="","",'Cash Flow %s Yr5'!D43*'Revenue Input'!$H39))</f>
        <v/>
      </c>
      <c r="E43" s="64" t="str">
        <f>IF('Revenue Input'!$H39="","",IF('Cash Flow %s Yr5'!E43="","",'Cash Flow %s Yr5'!E43*'Revenue Input'!$H39))</f>
        <v/>
      </c>
      <c r="F43" s="64" t="str">
        <f>IF('Revenue Input'!$H39="","",IF('Cash Flow %s Yr5'!F43="","",'Cash Flow %s Yr5'!F43*'Revenue Input'!$H39))</f>
        <v/>
      </c>
      <c r="G43" s="64" t="str">
        <f>IF('Revenue Input'!$H39="","",IF('Cash Flow %s Yr5'!G43="","",'Cash Flow %s Yr5'!G43*'Revenue Input'!$H39))</f>
        <v/>
      </c>
      <c r="H43" s="64" t="str">
        <f>IF('Revenue Input'!$H39="","",IF('Cash Flow %s Yr5'!H43="","",'Cash Flow %s Yr5'!H43*'Revenue Input'!$H39))</f>
        <v/>
      </c>
      <c r="I43" s="64" t="str">
        <f>IF('Revenue Input'!$H39="","",IF('Cash Flow %s Yr5'!I43="","",'Cash Flow %s Yr5'!I43*'Revenue Input'!$H39))</f>
        <v/>
      </c>
      <c r="J43" s="64" t="str">
        <f>IF('Revenue Input'!$H39="","",IF('Cash Flow %s Yr5'!J43="","",'Cash Flow %s Yr5'!J43*'Revenue Input'!$H39))</f>
        <v/>
      </c>
      <c r="K43" s="64" t="str">
        <f>IF('Revenue Input'!$H39="","",IF('Cash Flow %s Yr5'!K43="","",'Cash Flow %s Yr5'!K43*'Revenue Input'!$H39))</f>
        <v/>
      </c>
      <c r="L43" s="64" t="str">
        <f>IF('Revenue Input'!$H39="","",IF('Cash Flow %s Yr5'!L43="","",'Cash Flow %s Yr5'!L43*'Revenue Input'!$H39))</f>
        <v/>
      </c>
      <c r="M43" s="64" t="str">
        <f>IF('Revenue Input'!$H39="","",IF('Cash Flow %s Yr5'!M43="","",'Cash Flow %s Yr5'!M43*'Revenue Input'!$H39))</f>
        <v/>
      </c>
      <c r="N43" s="64" t="str">
        <f>IF('Revenue Input'!$H39="","",IF('Cash Flow %s Yr5'!N43="","",'Cash Flow %s Yr5'!N43*'Revenue Input'!$H39))</f>
        <v/>
      </c>
      <c r="O43" s="64" t="str">
        <f>IF('Revenue Input'!$H39="","",IF('Cash Flow %s Yr5'!O43="","",'Cash Flow %s Yr5'!O43*'Revenue Input'!$H39))</f>
        <v/>
      </c>
      <c r="P43" s="64" t="str">
        <f>IF('Revenue Input'!$H39="","",IF('Cash Flow %s Yr5'!P43="","",'Cash Flow %s Yr5'!P43*'Revenue Input'!$H39))</f>
        <v/>
      </c>
      <c r="Q43" s="64" t="str">
        <f>IF('Revenue Input'!$H39="","",IF('Cash Flow %s Yr5'!Q43="","",'Cash Flow %s Yr5'!Q43*'Revenue Input'!$H39))</f>
        <v/>
      </c>
      <c r="R43" s="64" t="str">
        <f>IF('Revenue Input'!$H39="","",IF('Cash Flow %s Yr5'!R43="","",'Cash Flow %s Yr5'!R43*'Revenue Input'!$H39))</f>
        <v/>
      </c>
      <c r="S43" s="111" t="str">
        <f>IF(SUM(D43:R43)&gt;0,SUM(D43:R43)/'Revenue Input'!$H39,"")</f>
        <v/>
      </c>
    </row>
    <row r="44" spans="1:19" s="31" customFormat="1" ht="18" x14ac:dyDescent="0.2">
      <c r="A44" s="47"/>
      <c r="B44" s="65" t="str">
        <f>'Revenue Input'!B40</f>
        <v>8983</v>
      </c>
      <c r="C44" s="65" t="str">
        <f>'Revenue Input'!C40</f>
        <v>All Other Local Revenue</v>
      </c>
      <c r="D44" s="64" t="str">
        <f>IF('Revenue Input'!$H40="","",IF('Cash Flow %s Yr5'!D44="","",'Cash Flow %s Yr5'!D44*'Revenue Input'!$H40))</f>
        <v/>
      </c>
      <c r="E44" s="64" t="str">
        <f>IF('Revenue Input'!$H40="","",IF('Cash Flow %s Yr5'!E44="","",'Cash Flow %s Yr5'!E44*'Revenue Input'!$H40))</f>
        <v/>
      </c>
      <c r="F44" s="64" t="str">
        <f>IF('Revenue Input'!$H40="","",IF('Cash Flow %s Yr5'!F44="","",'Cash Flow %s Yr5'!F44*'Revenue Input'!$H40))</f>
        <v/>
      </c>
      <c r="G44" s="64" t="str">
        <f>IF('Revenue Input'!$H40="","",IF('Cash Flow %s Yr5'!G44="","",'Cash Flow %s Yr5'!G44*'Revenue Input'!$H40))</f>
        <v/>
      </c>
      <c r="H44" s="64" t="str">
        <f>IF('Revenue Input'!$H40="","",IF('Cash Flow %s Yr5'!H44="","",'Cash Flow %s Yr5'!H44*'Revenue Input'!$H40))</f>
        <v/>
      </c>
      <c r="I44" s="64" t="str">
        <f>IF('Revenue Input'!$H40="","",IF('Cash Flow %s Yr5'!I44="","",'Cash Flow %s Yr5'!I44*'Revenue Input'!$H40))</f>
        <v/>
      </c>
      <c r="J44" s="64" t="str">
        <f>IF('Revenue Input'!$H40="","",IF('Cash Flow %s Yr5'!J44="","",'Cash Flow %s Yr5'!J44*'Revenue Input'!$H40))</f>
        <v/>
      </c>
      <c r="K44" s="64" t="str">
        <f>IF('Revenue Input'!$H40="","",IF('Cash Flow %s Yr5'!K44="","",'Cash Flow %s Yr5'!K44*'Revenue Input'!$H40))</f>
        <v/>
      </c>
      <c r="L44" s="64" t="str">
        <f>IF('Revenue Input'!$H40="","",IF('Cash Flow %s Yr5'!L44="","",'Cash Flow %s Yr5'!L44*'Revenue Input'!$H40))</f>
        <v/>
      </c>
      <c r="M44" s="64" t="str">
        <f>IF('Revenue Input'!$H40="","",IF('Cash Flow %s Yr5'!M44="","",'Cash Flow %s Yr5'!M44*'Revenue Input'!$H40))</f>
        <v/>
      </c>
      <c r="N44" s="64" t="str">
        <f>IF('Revenue Input'!$H40="","",IF('Cash Flow %s Yr5'!N44="","",'Cash Flow %s Yr5'!N44*'Revenue Input'!$H40))</f>
        <v/>
      </c>
      <c r="O44" s="64" t="str">
        <f>IF('Revenue Input'!$H40="","",IF('Cash Flow %s Yr5'!O44="","",'Cash Flow %s Yr5'!O44*'Revenue Input'!$H40))</f>
        <v/>
      </c>
      <c r="P44" s="64" t="str">
        <f>IF('Revenue Input'!$H40="","",IF('Cash Flow %s Yr5'!P44="","",'Cash Flow %s Yr5'!P44*'Revenue Input'!$H40))</f>
        <v/>
      </c>
      <c r="Q44" s="64" t="str">
        <f>IF('Revenue Input'!$H40="","",IF('Cash Flow %s Yr5'!Q44="","",'Cash Flow %s Yr5'!Q44*'Revenue Input'!$H40))</f>
        <v/>
      </c>
      <c r="R44" s="64" t="str">
        <f>IF('Revenue Input'!$H40="","",IF('Cash Flow %s Yr5'!R44="","",'Cash Flow %s Yr5'!R44*'Revenue Input'!$H40))</f>
        <v/>
      </c>
      <c r="S44" s="111" t="str">
        <f>IF(SUM(D44:R44)&gt;0,SUM(D44:R44)/'Revenue Input'!$H40,"")</f>
        <v/>
      </c>
    </row>
    <row r="45" spans="1:19" s="31" customFormat="1" ht="18" x14ac:dyDescent="0.2">
      <c r="A45" s="47"/>
      <c r="B45" s="65" t="str">
        <f>'Revenue Input'!B41</f>
        <v>8984</v>
      </c>
      <c r="C45" s="65" t="str">
        <f>'Revenue Input'!C41</f>
        <v>Student Body (ASB) Fundraising Revenue</v>
      </c>
      <c r="D45" s="64" t="str">
        <f>IF('Revenue Input'!$H41="","",IF('Cash Flow %s Yr5'!D45="","",'Cash Flow %s Yr5'!D45*'Revenue Input'!$H41))</f>
        <v/>
      </c>
      <c r="E45" s="64" t="str">
        <f>IF('Revenue Input'!$H41="","",IF('Cash Flow %s Yr5'!E45="","",'Cash Flow %s Yr5'!E45*'Revenue Input'!$H41))</f>
        <v/>
      </c>
      <c r="F45" s="64" t="str">
        <f>IF('Revenue Input'!$H41="","",IF('Cash Flow %s Yr5'!F45="","",'Cash Flow %s Yr5'!F45*'Revenue Input'!$H41))</f>
        <v/>
      </c>
      <c r="G45" s="64" t="str">
        <f>IF('Revenue Input'!$H41="","",IF('Cash Flow %s Yr5'!G45="","",'Cash Flow %s Yr5'!G45*'Revenue Input'!$H41))</f>
        <v/>
      </c>
      <c r="H45" s="64" t="str">
        <f>IF('Revenue Input'!$H41="","",IF('Cash Flow %s Yr5'!H45="","",'Cash Flow %s Yr5'!H45*'Revenue Input'!$H41))</f>
        <v/>
      </c>
      <c r="I45" s="64" t="str">
        <f>IF('Revenue Input'!$H41="","",IF('Cash Flow %s Yr5'!I45="","",'Cash Flow %s Yr5'!I45*'Revenue Input'!$H41))</f>
        <v/>
      </c>
      <c r="J45" s="64" t="str">
        <f>IF('Revenue Input'!$H41="","",IF('Cash Flow %s Yr5'!J45="","",'Cash Flow %s Yr5'!J45*'Revenue Input'!$H41))</f>
        <v/>
      </c>
      <c r="K45" s="64" t="str">
        <f>IF('Revenue Input'!$H41="","",IF('Cash Flow %s Yr5'!K45="","",'Cash Flow %s Yr5'!K45*'Revenue Input'!$H41))</f>
        <v/>
      </c>
      <c r="L45" s="64" t="str">
        <f>IF('Revenue Input'!$H41="","",IF('Cash Flow %s Yr5'!L45="","",'Cash Flow %s Yr5'!L45*'Revenue Input'!$H41))</f>
        <v/>
      </c>
      <c r="M45" s="64" t="str">
        <f>IF('Revenue Input'!$H41="","",IF('Cash Flow %s Yr5'!M45="","",'Cash Flow %s Yr5'!M45*'Revenue Input'!$H41))</f>
        <v/>
      </c>
      <c r="N45" s="64" t="str">
        <f>IF('Revenue Input'!$H41="","",IF('Cash Flow %s Yr5'!N45="","",'Cash Flow %s Yr5'!N45*'Revenue Input'!$H41))</f>
        <v/>
      </c>
      <c r="O45" s="64" t="str">
        <f>IF('Revenue Input'!$H41="","",IF('Cash Flow %s Yr5'!O45="","",'Cash Flow %s Yr5'!O45*'Revenue Input'!$H41))</f>
        <v/>
      </c>
      <c r="P45" s="64" t="str">
        <f>IF('Revenue Input'!$H41="","",IF('Cash Flow %s Yr5'!P45="","",'Cash Flow %s Yr5'!P45*'Revenue Input'!$H41))</f>
        <v/>
      </c>
      <c r="Q45" s="64" t="str">
        <f>IF('Revenue Input'!$H41="","",IF('Cash Flow %s Yr5'!Q45="","",'Cash Flow %s Yr5'!Q45*'Revenue Input'!$H41))</f>
        <v/>
      </c>
      <c r="R45" s="64" t="str">
        <f>IF('Revenue Input'!$H41="","",IF('Cash Flow %s Yr5'!R45="","",'Cash Flow %s Yr5'!R45*'Revenue Input'!$H41))</f>
        <v/>
      </c>
      <c r="S45" s="111" t="str">
        <f>IF(SUM(D45:R45)&gt;0,SUM(D45:R45)/'Revenue Input'!$H41,"")</f>
        <v/>
      </c>
    </row>
    <row r="46" spans="1:19" s="31" customFormat="1" ht="18" x14ac:dyDescent="0.2">
      <c r="A46" s="47"/>
      <c r="B46" s="65" t="str">
        <f>'Revenue Input'!B42</f>
        <v>8985</v>
      </c>
      <c r="C46" s="65" t="str">
        <f>'Revenue Input'!C42</f>
        <v>School Site Fundraising</v>
      </c>
      <c r="D46" s="64">
        <f>IF('Revenue Input'!$H42="","",IF('Cash Flow %s Yr5'!D49="","",'Cash Flow %s Yr5'!D49*'Revenue Input'!$H42))</f>
        <v>0</v>
      </c>
      <c r="E46" s="64">
        <f>IF('Revenue Input'!$H42="","",IF('Cash Flow %s Yr5'!E49="","",'Cash Flow %s Yr5'!E49*'Revenue Input'!$H42))</f>
        <v>0</v>
      </c>
      <c r="F46" s="64">
        <f>IF('Revenue Input'!$H42="","",IF('Cash Flow %s Yr5'!F49="","",'Cash Flow %s Yr5'!F49*'Revenue Input'!$H42))</f>
        <v>5000</v>
      </c>
      <c r="G46" s="64">
        <f>IF('Revenue Input'!$H42="","",IF('Cash Flow %s Yr5'!G49="","",'Cash Flow %s Yr5'!G49*'Revenue Input'!$H42))</f>
        <v>5000</v>
      </c>
      <c r="H46" s="64">
        <f>IF('Revenue Input'!$H42="","",IF('Cash Flow %s Yr5'!H49="","",'Cash Flow %s Yr5'!H49*'Revenue Input'!$H42))</f>
        <v>5000</v>
      </c>
      <c r="I46" s="64">
        <f>IF('Revenue Input'!$H42="","",IF('Cash Flow %s Yr5'!I49="","",'Cash Flow %s Yr5'!I49*'Revenue Input'!$H42))</f>
        <v>5000</v>
      </c>
      <c r="J46" s="64">
        <f>IF('Revenue Input'!$H42="","",IF('Cash Flow %s Yr5'!J49="","",'Cash Flow %s Yr5'!J49*'Revenue Input'!$H42))</f>
        <v>5000</v>
      </c>
      <c r="K46" s="64">
        <f>IF('Revenue Input'!$H42="","",IF('Cash Flow %s Yr5'!K49="","",'Cash Flow %s Yr5'!K49*'Revenue Input'!$H42))</f>
        <v>5000</v>
      </c>
      <c r="L46" s="64">
        <f>IF('Revenue Input'!$H42="","",IF('Cash Flow %s Yr5'!L49="","",'Cash Flow %s Yr5'!L49*'Revenue Input'!$H42))</f>
        <v>5000</v>
      </c>
      <c r="M46" s="64">
        <f>IF('Revenue Input'!$H42="","",IF('Cash Flow %s Yr5'!M49="","",'Cash Flow %s Yr5'!M49*'Revenue Input'!$H42))</f>
        <v>5000</v>
      </c>
      <c r="N46" s="64">
        <f>IF('Revenue Input'!$H42="","",IF('Cash Flow %s Yr5'!N49="","",'Cash Flow %s Yr5'!N49*'Revenue Input'!$H42))</f>
        <v>5000</v>
      </c>
      <c r="O46" s="64">
        <f>IF('Revenue Input'!$H42="","",IF('Cash Flow %s Yr5'!O49="","",'Cash Flow %s Yr5'!O49*'Revenue Input'!$H42))</f>
        <v>5000</v>
      </c>
      <c r="P46" s="64">
        <f>IF('Revenue Input'!$H42="","",IF('Cash Flow %s Yr5'!P49="","",'Cash Flow %s Yr5'!P49*'Revenue Input'!$H42))</f>
        <v>0</v>
      </c>
      <c r="Q46" s="64">
        <f>IF('Revenue Input'!$H42="","",IF('Cash Flow %s Yr5'!Q49="","",'Cash Flow %s Yr5'!Q49*'Revenue Input'!$H42))</f>
        <v>0</v>
      </c>
      <c r="R46" s="64">
        <f>IF('Revenue Input'!$H42="","",IF('Cash Flow %s Yr5'!R49="","",'Cash Flow %s Yr5'!R49*'Revenue Input'!$H42))</f>
        <v>0</v>
      </c>
      <c r="S46" s="111">
        <f>IF(SUM(D46:R46)&gt;0,SUM(D46:R46)/'Revenue Input'!$H42,"")</f>
        <v>1</v>
      </c>
    </row>
    <row r="47" spans="1:19" s="31" customFormat="1" ht="18" x14ac:dyDescent="0.2">
      <c r="A47" s="47"/>
      <c r="B47" s="65" t="str">
        <f>'Revenue Input'!B43</f>
        <v>8986</v>
      </c>
      <c r="C47" s="65" t="str">
        <f>'Revenue Input'!C43</f>
        <v>Rental Income</v>
      </c>
      <c r="D47" s="64" t="str">
        <f>IF('Revenue Input'!$H43="","",IF('Cash Flow %s Yr5'!D50="","",'Cash Flow %s Yr5'!D50*'Revenue Input'!$H43))</f>
        <v/>
      </c>
      <c r="E47" s="64" t="str">
        <f>IF('Revenue Input'!$H43="","",IF('Cash Flow %s Yr5'!E50="","",'Cash Flow %s Yr5'!E50*'Revenue Input'!$H43))</f>
        <v/>
      </c>
      <c r="F47" s="64" t="str">
        <f>IF('Revenue Input'!$H43="","",IF('Cash Flow %s Yr5'!F50="","",'Cash Flow %s Yr5'!F50*'Revenue Input'!$H43))</f>
        <v/>
      </c>
      <c r="G47" s="64" t="str">
        <f>IF('Revenue Input'!$H43="","",IF('Cash Flow %s Yr5'!G50="","",'Cash Flow %s Yr5'!G50*'Revenue Input'!$H43))</f>
        <v/>
      </c>
      <c r="H47" s="64" t="str">
        <f>IF('Revenue Input'!$H43="","",IF('Cash Flow %s Yr5'!H50="","",'Cash Flow %s Yr5'!H50*'Revenue Input'!$H43))</f>
        <v/>
      </c>
      <c r="I47" s="64" t="str">
        <f>IF('Revenue Input'!$H43="","",IF('Cash Flow %s Yr5'!I50="","",'Cash Flow %s Yr5'!I50*'Revenue Input'!$H43))</f>
        <v/>
      </c>
      <c r="J47" s="64" t="str">
        <f>IF('Revenue Input'!$H43="","",IF('Cash Flow %s Yr5'!J50="","",'Cash Flow %s Yr5'!J50*'Revenue Input'!$H43))</f>
        <v/>
      </c>
      <c r="K47" s="64" t="str">
        <f>IF('Revenue Input'!$H43="","",IF('Cash Flow %s Yr5'!K50="","",'Cash Flow %s Yr5'!K50*'Revenue Input'!$H43))</f>
        <v/>
      </c>
      <c r="L47" s="64" t="str">
        <f>IF('Revenue Input'!$H43="","",IF('Cash Flow %s Yr5'!L50="","",'Cash Flow %s Yr5'!L50*'Revenue Input'!$H43))</f>
        <v/>
      </c>
      <c r="M47" s="64" t="str">
        <f>IF('Revenue Input'!$H43="","",IF('Cash Flow %s Yr5'!M50="","",'Cash Flow %s Yr5'!M50*'Revenue Input'!$H43))</f>
        <v/>
      </c>
      <c r="N47" s="64" t="str">
        <f>IF('Revenue Input'!$H43="","",IF('Cash Flow %s Yr5'!N50="","",'Cash Flow %s Yr5'!N50*'Revenue Input'!$H43))</f>
        <v/>
      </c>
      <c r="O47" s="64" t="str">
        <f>IF('Revenue Input'!$H43="","",IF('Cash Flow %s Yr5'!O50="","",'Cash Flow %s Yr5'!O50*'Revenue Input'!$H43))</f>
        <v/>
      </c>
      <c r="P47" s="64" t="str">
        <f>IF('Revenue Input'!$H43="","",IF('Cash Flow %s Yr5'!P50="","",'Cash Flow %s Yr5'!P50*'Revenue Input'!$H43))</f>
        <v/>
      </c>
      <c r="Q47" s="64" t="str">
        <f>IF('Revenue Input'!$H43="","",IF('Cash Flow %s Yr5'!Q50="","",'Cash Flow %s Yr5'!Q50*'Revenue Input'!$H43))</f>
        <v/>
      </c>
      <c r="R47" s="64" t="str">
        <f>IF('Revenue Input'!$H43="","",IF('Cash Flow %s Yr5'!R50="","",'Cash Flow %s Yr5'!R50*'Revenue Input'!$H43))</f>
        <v/>
      </c>
      <c r="S47" s="111" t="str">
        <f>IF(SUM(D47:R47)&gt;0,SUM(D47:R47)/'Revenue Input'!$H43,"")</f>
        <v/>
      </c>
    </row>
    <row r="48" spans="1:19" s="31" customFormat="1" ht="18" x14ac:dyDescent="0.2">
      <c r="A48" s="47"/>
      <c r="B48" s="65" t="str">
        <f>'Revenue Input'!B44</f>
        <v>8989</v>
      </c>
      <c r="C48" s="65" t="str">
        <f>'Revenue Input'!C44</f>
        <v>Fees for Service</v>
      </c>
      <c r="D48" s="64" t="str">
        <f>IF('Revenue Input'!$H44="","",IF('Cash Flow %s Yr5'!D51="","",'Cash Flow %s Yr5'!D51*'Revenue Input'!$H44))</f>
        <v/>
      </c>
      <c r="E48" s="64" t="str">
        <f>IF('Revenue Input'!$H44="","",IF('Cash Flow %s Yr5'!E51="","",'Cash Flow %s Yr5'!E51*'Revenue Input'!$H44))</f>
        <v/>
      </c>
      <c r="F48" s="64" t="str">
        <f>IF('Revenue Input'!$H44="","",IF('Cash Flow %s Yr5'!F51="","",'Cash Flow %s Yr5'!F51*'Revenue Input'!$H44))</f>
        <v/>
      </c>
      <c r="G48" s="64" t="str">
        <f>IF('Revenue Input'!$H44="","",IF('Cash Flow %s Yr5'!G51="","",'Cash Flow %s Yr5'!G51*'Revenue Input'!$H44))</f>
        <v/>
      </c>
      <c r="H48" s="64" t="str">
        <f>IF('Revenue Input'!$H44="","",IF('Cash Flow %s Yr5'!H51="","",'Cash Flow %s Yr5'!H51*'Revenue Input'!$H44))</f>
        <v/>
      </c>
      <c r="I48" s="64" t="str">
        <f>IF('Revenue Input'!$H44="","",IF('Cash Flow %s Yr5'!I51="","",'Cash Flow %s Yr5'!I51*'Revenue Input'!$H44))</f>
        <v/>
      </c>
      <c r="J48" s="64" t="str">
        <f>IF('Revenue Input'!$H44="","",IF('Cash Flow %s Yr5'!J51="","",'Cash Flow %s Yr5'!J51*'Revenue Input'!$H44))</f>
        <v/>
      </c>
      <c r="K48" s="64" t="str">
        <f>IF('Revenue Input'!$H44="","",IF('Cash Flow %s Yr5'!K51="","",'Cash Flow %s Yr5'!K51*'Revenue Input'!$H44))</f>
        <v/>
      </c>
      <c r="L48" s="64" t="str">
        <f>IF('Revenue Input'!$H44="","",IF('Cash Flow %s Yr5'!L51="","",'Cash Flow %s Yr5'!L51*'Revenue Input'!$H44))</f>
        <v/>
      </c>
      <c r="M48" s="64" t="str">
        <f>IF('Revenue Input'!$H44="","",IF('Cash Flow %s Yr5'!M51="","",'Cash Flow %s Yr5'!M51*'Revenue Input'!$H44))</f>
        <v/>
      </c>
      <c r="N48" s="64" t="str">
        <f>IF('Revenue Input'!$H44="","",IF('Cash Flow %s Yr5'!N51="","",'Cash Flow %s Yr5'!N51*'Revenue Input'!$H44))</f>
        <v/>
      </c>
      <c r="O48" s="64" t="str">
        <f>IF('Revenue Input'!$H44="","",IF('Cash Flow %s Yr5'!O51="","",'Cash Flow %s Yr5'!O51*'Revenue Input'!$H44))</f>
        <v/>
      </c>
      <c r="P48" s="64" t="str">
        <f>IF('Revenue Input'!$H44="","",IF('Cash Flow %s Yr5'!P51="","",'Cash Flow %s Yr5'!P51*'Revenue Input'!$H44))</f>
        <v/>
      </c>
      <c r="Q48" s="64" t="str">
        <f>IF('Revenue Input'!$H44="","",IF('Cash Flow %s Yr5'!Q51="","",'Cash Flow %s Yr5'!Q51*'Revenue Input'!$H44))</f>
        <v/>
      </c>
      <c r="R48" s="64" t="str">
        <f>IF('Revenue Input'!$H44="","",IF('Cash Flow %s Yr5'!R51="","",'Cash Flow %s Yr5'!R51*'Revenue Input'!$H44))</f>
        <v/>
      </c>
      <c r="S48" s="111" t="str">
        <f>IF(SUM(D48:R48)&gt;0,SUM(D48:R48)/'Revenue Input'!$H44,"")</f>
        <v/>
      </c>
    </row>
    <row r="49" spans="1:19" s="31" customFormat="1" ht="18" x14ac:dyDescent="0.2">
      <c r="A49" s="47"/>
      <c r="B49" s="65" t="str">
        <f>'Revenue Input'!B45</f>
        <v>8999</v>
      </c>
      <c r="C49" s="65" t="str">
        <f>'Revenue Input'!C45</f>
        <v>Revenue Suspense</v>
      </c>
      <c r="D49" s="64" t="str">
        <f>IF('Revenue Input'!$H45="","",IF('Cash Flow %s Yr5'!D52="","",'Cash Flow %s Yr5'!D52*'Revenue Input'!$H45))</f>
        <v/>
      </c>
      <c r="E49" s="64" t="str">
        <f>IF('Revenue Input'!$H45="","",IF('Cash Flow %s Yr5'!E52="","",'Cash Flow %s Yr5'!E52*'Revenue Input'!$H45))</f>
        <v/>
      </c>
      <c r="F49" s="64" t="str">
        <f>IF('Revenue Input'!$H45="","",IF('Cash Flow %s Yr5'!F52="","",'Cash Flow %s Yr5'!F52*'Revenue Input'!$H45))</f>
        <v/>
      </c>
      <c r="G49" s="64" t="str">
        <f>IF('Revenue Input'!$H45="","",IF('Cash Flow %s Yr5'!G52="","",'Cash Flow %s Yr5'!G52*'Revenue Input'!$H45))</f>
        <v/>
      </c>
      <c r="H49" s="64" t="str">
        <f>IF('Revenue Input'!$H45="","",IF('Cash Flow %s Yr5'!H52="","",'Cash Flow %s Yr5'!H52*'Revenue Input'!$H45))</f>
        <v/>
      </c>
      <c r="I49" s="64" t="str">
        <f>IF('Revenue Input'!$H45="","",IF('Cash Flow %s Yr5'!I52="","",'Cash Flow %s Yr5'!I52*'Revenue Input'!$H45))</f>
        <v/>
      </c>
      <c r="J49" s="64" t="str">
        <f>IF('Revenue Input'!$H45="","",IF('Cash Flow %s Yr5'!J52="","",'Cash Flow %s Yr5'!J52*'Revenue Input'!$H45))</f>
        <v/>
      </c>
      <c r="K49" s="64" t="str">
        <f>IF('Revenue Input'!$H45="","",IF('Cash Flow %s Yr5'!K52="","",'Cash Flow %s Yr5'!K52*'Revenue Input'!$H45))</f>
        <v/>
      </c>
      <c r="L49" s="64" t="str">
        <f>IF('Revenue Input'!$H45="","",IF('Cash Flow %s Yr5'!L52="","",'Cash Flow %s Yr5'!L52*'Revenue Input'!$H45))</f>
        <v/>
      </c>
      <c r="M49" s="64" t="str">
        <f>IF('Revenue Input'!$H45="","",IF('Cash Flow %s Yr5'!M52="","",'Cash Flow %s Yr5'!M52*'Revenue Input'!$H45))</f>
        <v/>
      </c>
      <c r="N49" s="64" t="str">
        <f>IF('Revenue Input'!$H45="","",IF('Cash Flow %s Yr5'!N52="","",'Cash Flow %s Yr5'!N52*'Revenue Input'!$H45))</f>
        <v/>
      </c>
      <c r="O49" s="64" t="str">
        <f>IF('Revenue Input'!$H45="","",IF('Cash Flow %s Yr5'!O52="","",'Cash Flow %s Yr5'!O52*'Revenue Input'!$H45))</f>
        <v/>
      </c>
      <c r="P49" s="64" t="str">
        <f>IF('Revenue Input'!$H45="","",IF('Cash Flow %s Yr5'!P52="","",'Cash Flow %s Yr5'!P52*'Revenue Input'!$H45))</f>
        <v/>
      </c>
      <c r="Q49" s="64" t="str">
        <f>IF('Revenue Input'!$H45="","",IF('Cash Flow %s Yr5'!Q52="","",'Cash Flow %s Yr5'!Q52*'Revenue Input'!$H45))</f>
        <v/>
      </c>
      <c r="R49" s="64" t="str">
        <f>IF('Revenue Input'!$H45="","",IF('Cash Flow %s Yr5'!R52="","",'Cash Flow %s Yr5'!R52*'Revenue Input'!$H45))</f>
        <v/>
      </c>
      <c r="S49" s="111" t="str">
        <f>IF(SUM(D49:R49)&gt;0,SUM(D49:R49)/'Revenue Input'!$H45,"")</f>
        <v/>
      </c>
    </row>
    <row r="50" spans="1:19" s="31" customFormat="1" ht="18" x14ac:dyDescent="0.2">
      <c r="A50" s="47"/>
      <c r="B50" s="72"/>
      <c r="C50" s="34" t="s">
        <v>721</v>
      </c>
      <c r="D50" s="192">
        <f t="shared" ref="D50:R50" si="2">SUM(D37:D49)</f>
        <v>83</v>
      </c>
      <c r="E50" s="192">
        <f t="shared" si="2"/>
        <v>83</v>
      </c>
      <c r="F50" s="192">
        <f t="shared" si="2"/>
        <v>5083</v>
      </c>
      <c r="G50" s="192">
        <f t="shared" si="2"/>
        <v>5083</v>
      </c>
      <c r="H50" s="192">
        <f t="shared" si="2"/>
        <v>5083</v>
      </c>
      <c r="I50" s="192">
        <f t="shared" si="2"/>
        <v>5083</v>
      </c>
      <c r="J50" s="192">
        <f t="shared" si="2"/>
        <v>5083</v>
      </c>
      <c r="K50" s="192">
        <f t="shared" si="2"/>
        <v>5083</v>
      </c>
      <c r="L50" s="192">
        <f t="shared" si="2"/>
        <v>5084</v>
      </c>
      <c r="M50" s="192">
        <f t="shared" si="2"/>
        <v>5084</v>
      </c>
      <c r="N50" s="192">
        <f t="shared" si="2"/>
        <v>5084</v>
      </c>
      <c r="O50" s="192">
        <f t="shared" si="2"/>
        <v>5084</v>
      </c>
      <c r="P50" s="192">
        <f t="shared" si="2"/>
        <v>0</v>
      </c>
      <c r="Q50" s="192">
        <f t="shared" si="2"/>
        <v>0</v>
      </c>
      <c r="R50" s="192">
        <f t="shared" si="2"/>
        <v>0</v>
      </c>
      <c r="S50" s="107"/>
    </row>
    <row r="51" spans="1:19" s="31" customFormat="1" ht="18" x14ac:dyDescent="0.2">
      <c r="A51" s="47"/>
      <c r="B51" s="49" t="s">
        <v>677</v>
      </c>
      <c r="C51" s="50"/>
      <c r="D51" s="193">
        <f t="shared" ref="D51:R51" si="3">SUM(D50,D34,D23)</f>
        <v>76246.564012659001</v>
      </c>
      <c r="E51" s="193">
        <f t="shared" si="3"/>
        <v>86904.678735614492</v>
      </c>
      <c r="F51" s="193">
        <f t="shared" si="3"/>
        <v>68016.398934676996</v>
      </c>
      <c r="G51" s="193">
        <f t="shared" si="3"/>
        <v>96524.239970418595</v>
      </c>
      <c r="H51" s="193">
        <f t="shared" si="3"/>
        <v>107039.67343784141</v>
      </c>
      <c r="I51" s="193">
        <f t="shared" si="3"/>
        <v>103410.23928699436</v>
      </c>
      <c r="J51" s="193">
        <f t="shared" si="3"/>
        <v>96524.239970418595</v>
      </c>
      <c r="K51" s="193">
        <f t="shared" si="3"/>
        <v>132573.92916784139</v>
      </c>
      <c r="L51" s="193">
        <f t="shared" si="3"/>
        <v>93569.338219562531</v>
      </c>
      <c r="M51" s="193">
        <f t="shared" si="3"/>
        <v>98173.222765418584</v>
      </c>
      <c r="N51" s="193">
        <f t="shared" si="3"/>
        <v>103628.3487328414</v>
      </c>
      <c r="O51" s="193">
        <f t="shared" si="3"/>
        <v>93112.915265418589</v>
      </c>
      <c r="P51" s="193">
        <f t="shared" si="3"/>
        <v>69202.949830418584</v>
      </c>
      <c r="Q51" s="193">
        <f t="shared" si="3"/>
        <v>10515.433467422808</v>
      </c>
      <c r="R51" s="193">
        <f t="shared" si="3"/>
        <v>0</v>
      </c>
      <c r="S51" s="107"/>
    </row>
    <row r="52" spans="1:19" s="31" customFormat="1" ht="18" x14ac:dyDescent="0.2">
      <c r="A52" s="47"/>
      <c r="B52" s="72"/>
      <c r="C52" s="50"/>
      <c r="D52" s="127"/>
      <c r="E52" s="127"/>
      <c r="F52" s="127"/>
      <c r="G52" s="127"/>
      <c r="H52" s="127"/>
      <c r="I52" s="127"/>
      <c r="J52" s="127"/>
      <c r="K52" s="127"/>
      <c r="L52" s="127"/>
      <c r="M52" s="127"/>
      <c r="N52" s="127"/>
      <c r="O52" s="127"/>
      <c r="P52" s="127"/>
      <c r="Q52" s="127"/>
      <c r="R52" s="127"/>
    </row>
    <row r="53" spans="1:19" s="31" customFormat="1" ht="18" x14ac:dyDescent="0.2">
      <c r="A53" s="47" t="s">
        <v>802</v>
      </c>
      <c r="B53" s="73"/>
      <c r="C53" s="34"/>
      <c r="D53" s="128"/>
      <c r="E53" s="128"/>
      <c r="F53" s="128"/>
      <c r="G53" s="128"/>
      <c r="H53" s="128"/>
      <c r="I53" s="128"/>
      <c r="J53" s="128"/>
      <c r="K53" s="128"/>
      <c r="L53" s="128"/>
      <c r="M53" s="128"/>
      <c r="N53" s="128"/>
      <c r="O53" s="128"/>
      <c r="P53" s="128"/>
      <c r="Q53" s="128"/>
      <c r="R53" s="128"/>
    </row>
    <row r="54" spans="1:19" x14ac:dyDescent="0.2">
      <c r="A54" s="1"/>
      <c r="B54" s="34" t="s">
        <v>733</v>
      </c>
      <c r="C54" s="3"/>
      <c r="D54" s="107"/>
      <c r="E54" s="107"/>
      <c r="F54" s="107"/>
      <c r="G54" s="107"/>
      <c r="H54" s="107"/>
      <c r="I54" s="107"/>
      <c r="J54" s="107"/>
      <c r="K54" s="107"/>
      <c r="L54" s="107"/>
      <c r="M54" s="107"/>
      <c r="N54" s="107"/>
      <c r="O54" s="107"/>
      <c r="P54" s="107"/>
      <c r="Q54" s="107"/>
      <c r="R54" s="107"/>
    </row>
    <row r="55" spans="1:19" x14ac:dyDescent="0.2">
      <c r="A55" s="36"/>
      <c r="B55" s="67" t="str">
        <f>'Expenses Summary'!B8</f>
        <v>1100</v>
      </c>
      <c r="C55" s="67" t="str">
        <f>'Expenses Summary'!C8</f>
        <v>Teachers'  Salaries</v>
      </c>
      <c r="D55" s="64">
        <f>IF('Expenses Summary'!$H8="","",IF('Cash Flow %s Yr5'!D55="","",'Cash Flow %s Yr5'!D55*'Expenses Summary'!$H8))</f>
        <v>21572.583471836999</v>
      </c>
      <c r="E55" s="64">
        <f>IF('Expenses Summary'!$H8="","",IF('Cash Flow %s Yr5'!E55="","",'Cash Flow %s Yr5'!E55*'Expenses Summary'!$H8))</f>
        <v>21572.583471836999</v>
      </c>
      <c r="F55" s="64">
        <f>IF('Expenses Summary'!$H8="","",IF('Cash Flow %s Yr5'!F55="","",'Cash Flow %s Yr5'!F55*'Expenses Summary'!$H8))</f>
        <v>21572.583471836999</v>
      </c>
      <c r="G55" s="64">
        <f>IF('Expenses Summary'!$H8="","",IF('Cash Flow %s Yr5'!G55="","",'Cash Flow %s Yr5'!G55*'Expenses Summary'!$H8))</f>
        <v>21572.583471836999</v>
      </c>
      <c r="H55" s="64">
        <f>IF('Expenses Summary'!$H8="","",IF('Cash Flow %s Yr5'!H55="","",'Cash Flow %s Yr5'!H55*'Expenses Summary'!$H8))</f>
        <v>21572.583471836999</v>
      </c>
      <c r="I55" s="64">
        <f>IF('Expenses Summary'!$H8="","",IF('Cash Flow %s Yr5'!I55="","",'Cash Flow %s Yr5'!I55*'Expenses Summary'!$H8))</f>
        <v>21572.583471836999</v>
      </c>
      <c r="J55" s="64">
        <f>IF('Expenses Summary'!$H8="","",IF('Cash Flow %s Yr5'!J55="","",'Cash Flow %s Yr5'!J55*'Expenses Summary'!$H8))</f>
        <v>21572.583471836999</v>
      </c>
      <c r="K55" s="64">
        <f>IF('Expenses Summary'!$H8="","",IF('Cash Flow %s Yr5'!K55="","",'Cash Flow %s Yr5'!K55*'Expenses Summary'!$H8))</f>
        <v>21572.583471836999</v>
      </c>
      <c r="L55" s="64">
        <f>IF('Expenses Summary'!$H8="","",IF('Cash Flow %s Yr5'!L55="","",'Cash Flow %s Yr5'!L55*'Expenses Summary'!$H8))</f>
        <v>21832.494116075999</v>
      </c>
      <c r="M55" s="64">
        <f>IF('Expenses Summary'!$H8="","",IF('Cash Flow %s Yr5'!M55="","",'Cash Flow %s Yr5'!M55*'Expenses Summary'!$H8))</f>
        <v>21832.494116075999</v>
      </c>
      <c r="N55" s="64">
        <f>IF('Expenses Summary'!$H8="","",IF('Cash Flow %s Yr5'!N55="","",'Cash Flow %s Yr5'!N55*'Expenses Summary'!$H8))</f>
        <v>21832.494116075999</v>
      </c>
      <c r="O55" s="64">
        <f>IF('Expenses Summary'!$H8="","",IF('Cash Flow %s Yr5'!O55="","",'Cash Flow %s Yr5'!O55*'Expenses Summary'!$H8))</f>
        <v>21832.494116075999</v>
      </c>
      <c r="P55" s="129"/>
      <c r="Q55" s="129"/>
      <c r="R55" s="129"/>
      <c r="S55" s="111">
        <f>IF(SUM(D55:R55)&gt;0,SUM(D55:R55)/'Expenses Summary'!$H8,"")</f>
        <v>1.0000000000000002</v>
      </c>
    </row>
    <row r="56" spans="1:19" x14ac:dyDescent="0.2">
      <c r="A56" s="36"/>
      <c r="B56" s="67" t="str">
        <f>'Expenses Summary'!B9</f>
        <v>1105</v>
      </c>
      <c r="C56" s="67" t="str">
        <f>'Expenses Summary'!C9</f>
        <v>Teachers'  Bonuses</v>
      </c>
      <c r="D56" s="64">
        <f>IF('Expenses Summary'!$H9="","",IF('Cash Flow %s Yr5'!D56="","",'Cash Flow %s Yr5'!D56*'Expenses Summary'!$H9))</f>
        <v>0</v>
      </c>
      <c r="E56" s="64">
        <f>IF('Expenses Summary'!$H9="","",IF('Cash Flow %s Yr5'!E56="","",'Cash Flow %s Yr5'!E56*'Expenses Summary'!$H9))</f>
        <v>0</v>
      </c>
      <c r="F56" s="64">
        <f>IF('Expenses Summary'!$H9="","",IF('Cash Flow %s Yr5'!F56="","",'Cash Flow %s Yr5'!F56*'Expenses Summary'!$H9))</f>
        <v>0</v>
      </c>
      <c r="G56" s="64">
        <f>IF('Expenses Summary'!$H9="","",IF('Cash Flow %s Yr5'!G56="","",'Cash Flow %s Yr5'!G56*'Expenses Summary'!$H9))</f>
        <v>0</v>
      </c>
      <c r="H56" s="64">
        <f>IF('Expenses Summary'!$H9="","",IF('Cash Flow %s Yr5'!H56="","",'Cash Flow %s Yr5'!H56*'Expenses Summary'!$H9))</f>
        <v>0</v>
      </c>
      <c r="I56" s="64">
        <f>IF('Expenses Summary'!$H9="","",IF('Cash Flow %s Yr5'!I56="","",'Cash Flow %s Yr5'!I56*'Expenses Summary'!$H9))</f>
        <v>1500</v>
      </c>
      <c r="J56" s="64">
        <f>IF('Expenses Summary'!$H9="","",IF('Cash Flow %s Yr5'!J56="","",'Cash Flow %s Yr5'!J56*'Expenses Summary'!$H9))</f>
        <v>0</v>
      </c>
      <c r="K56" s="64">
        <f>IF('Expenses Summary'!$H9="","",IF('Cash Flow %s Yr5'!K56="","",'Cash Flow %s Yr5'!K56*'Expenses Summary'!$H9))</f>
        <v>0</v>
      </c>
      <c r="L56" s="64">
        <f>IF('Expenses Summary'!$H9="","",IF('Cash Flow %s Yr5'!L56="","",'Cash Flow %s Yr5'!L56*'Expenses Summary'!$H9))</f>
        <v>0</v>
      </c>
      <c r="M56" s="64">
        <f>IF('Expenses Summary'!$H9="","",IF('Cash Flow %s Yr5'!M56="","",'Cash Flow %s Yr5'!M56*'Expenses Summary'!$H9))</f>
        <v>0</v>
      </c>
      <c r="N56" s="64">
        <f>IF('Expenses Summary'!$H9="","",IF('Cash Flow %s Yr5'!N56="","",'Cash Flow %s Yr5'!N56*'Expenses Summary'!$H9))</f>
        <v>0</v>
      </c>
      <c r="O56" s="64">
        <f>IF('Expenses Summary'!$H9="","",IF('Cash Flow %s Yr5'!O56="","",'Cash Flow %s Yr5'!O56*'Expenses Summary'!$H9))</f>
        <v>0</v>
      </c>
      <c r="P56" s="129"/>
      <c r="Q56" s="129"/>
      <c r="R56" s="129"/>
      <c r="S56" s="111">
        <f>IF(SUM(D56:R56)&gt;0,SUM(D56:R56)/'Expenses Summary'!$H9,"")</f>
        <v>1</v>
      </c>
    </row>
    <row r="57" spans="1:19" x14ac:dyDescent="0.2">
      <c r="A57" s="36"/>
      <c r="B57" s="67" t="str">
        <f>'Expenses Summary'!B10</f>
        <v>1120</v>
      </c>
      <c r="C57" s="67" t="str">
        <f>'Expenses Summary'!C10</f>
        <v>Substitute Expense</v>
      </c>
      <c r="D57" s="64">
        <f>IF('Expenses Summary'!$H10="","",IF('Cash Flow %s Yr5'!D57="","",'Cash Flow %s Yr5'!D57*'Expenses Summary'!$H10))</f>
        <v>0</v>
      </c>
      <c r="E57" s="64">
        <f>IF('Expenses Summary'!$H10="","",IF('Cash Flow %s Yr5'!E57="","",'Cash Flow %s Yr5'!E57*'Expenses Summary'!$H10))</f>
        <v>0</v>
      </c>
      <c r="F57" s="64">
        <f>IF('Expenses Summary'!$H10="","",IF('Cash Flow %s Yr5'!F57="","",'Cash Flow %s Yr5'!F57*'Expenses Summary'!$H10))</f>
        <v>175.68503999999999</v>
      </c>
      <c r="G57" s="64">
        <f>IF('Expenses Summary'!$H10="","",IF('Cash Flow %s Yr5'!G57="","",'Cash Flow %s Yr5'!G57*'Expenses Summary'!$H10))</f>
        <v>175.68503999999999</v>
      </c>
      <c r="H57" s="64">
        <f>IF('Expenses Summary'!$H10="","",IF('Cash Flow %s Yr5'!H57="","",'Cash Flow %s Yr5'!H57*'Expenses Summary'!$H10))</f>
        <v>175.68503999999999</v>
      </c>
      <c r="I57" s="64">
        <f>IF('Expenses Summary'!$H10="","",IF('Cash Flow %s Yr5'!I57="","",'Cash Flow %s Yr5'!I57*'Expenses Summary'!$H10))</f>
        <v>175.68503999999999</v>
      </c>
      <c r="J57" s="64">
        <f>IF('Expenses Summary'!$H10="","",IF('Cash Flow %s Yr5'!J57="","",'Cash Flow %s Yr5'!J57*'Expenses Summary'!$H10))</f>
        <v>175.68503999999999</v>
      </c>
      <c r="K57" s="64">
        <f>IF('Expenses Summary'!$H10="","",IF('Cash Flow %s Yr5'!K57="","",'Cash Flow %s Yr5'!K57*'Expenses Summary'!$H10))</f>
        <v>175.68503999999999</v>
      </c>
      <c r="L57" s="64">
        <f>IF('Expenses Summary'!$H10="","",IF('Cash Flow %s Yr5'!L57="","",'Cash Flow %s Yr5'!L57*'Expenses Summary'!$H10))</f>
        <v>175.68503999999999</v>
      </c>
      <c r="M57" s="64">
        <f>IF('Expenses Summary'!$H10="","",IF('Cash Flow %s Yr5'!M57="","",'Cash Flow %s Yr5'!M57*'Expenses Summary'!$H10))</f>
        <v>175.68503999999999</v>
      </c>
      <c r="N57" s="64">
        <f>IF('Expenses Summary'!$H10="","",IF('Cash Flow %s Yr5'!N57="","",'Cash Flow %s Yr5'!N57*'Expenses Summary'!$H10))</f>
        <v>175.68503999999999</v>
      </c>
      <c r="O57" s="64">
        <f>IF('Expenses Summary'!$H10="","",IF('Cash Flow %s Yr5'!O57="","",'Cash Flow %s Yr5'!O57*'Expenses Summary'!$H10))</f>
        <v>175.68503999999999</v>
      </c>
      <c r="P57" s="129"/>
      <c r="Q57" s="129"/>
      <c r="R57" s="129"/>
      <c r="S57" s="111">
        <f>IF(SUM(D57:R57)&gt;0,SUM(D57:R57)/'Expenses Summary'!$H10,"")</f>
        <v>1.0000000000000002</v>
      </c>
    </row>
    <row r="58" spans="1:19" x14ac:dyDescent="0.2">
      <c r="A58" s="36"/>
      <c r="B58" s="67" t="str">
        <f>'Expenses Summary'!B11</f>
        <v>1200</v>
      </c>
      <c r="C58" s="67" t="str">
        <f>'Expenses Summary'!C11</f>
        <v>Certificated Pupil Support Salaries</v>
      </c>
      <c r="D58" s="64">
        <f>IF('Expenses Summary'!$H11="","",IF('Cash Flow %s Yr5'!D58="","",'Cash Flow %s Yr5'!D58*'Expenses Summary'!$H11))</f>
        <v>0</v>
      </c>
      <c r="E58" s="64">
        <f>IF('Expenses Summary'!$H11="","",IF('Cash Flow %s Yr5'!E58="","",'Cash Flow %s Yr5'!E58*'Expenses Summary'!$H11))</f>
        <v>0</v>
      </c>
      <c r="F58" s="64">
        <f>IF('Expenses Summary'!$H11="","",IF('Cash Flow %s Yr5'!F58="","",'Cash Flow %s Yr5'!F58*'Expenses Summary'!$H11))</f>
        <v>0</v>
      </c>
      <c r="G58" s="64">
        <f>IF('Expenses Summary'!$H11="","",IF('Cash Flow %s Yr5'!G58="","",'Cash Flow %s Yr5'!G58*'Expenses Summary'!$H11))</f>
        <v>0</v>
      </c>
      <c r="H58" s="64">
        <f>IF('Expenses Summary'!$H11="","",IF('Cash Flow %s Yr5'!H58="","",'Cash Flow %s Yr5'!H58*'Expenses Summary'!$H11))</f>
        <v>0</v>
      </c>
      <c r="I58" s="64">
        <f>IF('Expenses Summary'!$H11="","",IF('Cash Flow %s Yr5'!I58="","",'Cash Flow %s Yr5'!I58*'Expenses Summary'!$H11))</f>
        <v>0</v>
      </c>
      <c r="J58" s="64">
        <f>IF('Expenses Summary'!$H11="","",IF('Cash Flow %s Yr5'!J58="","",'Cash Flow %s Yr5'!J58*'Expenses Summary'!$H11))</f>
        <v>0</v>
      </c>
      <c r="K58" s="64">
        <f>IF('Expenses Summary'!$H11="","",IF('Cash Flow %s Yr5'!K58="","",'Cash Flow %s Yr5'!K58*'Expenses Summary'!$H11))</f>
        <v>0</v>
      </c>
      <c r="L58" s="64">
        <f>IF('Expenses Summary'!$H11="","",IF('Cash Flow %s Yr5'!L58="","",'Cash Flow %s Yr5'!L58*'Expenses Summary'!$H11))</f>
        <v>0</v>
      </c>
      <c r="M58" s="64">
        <f>IF('Expenses Summary'!$H11="","",IF('Cash Flow %s Yr5'!M58="","",'Cash Flow %s Yr5'!M58*'Expenses Summary'!$H11))</f>
        <v>0</v>
      </c>
      <c r="N58" s="64">
        <f>IF('Expenses Summary'!$H11="","",IF('Cash Flow %s Yr5'!N58="","",'Cash Flow %s Yr5'!N58*'Expenses Summary'!$H11))</f>
        <v>0</v>
      </c>
      <c r="O58" s="64">
        <f>IF('Expenses Summary'!$H11="","",IF('Cash Flow %s Yr5'!O58="","",'Cash Flow %s Yr5'!O58*'Expenses Summary'!$H11))</f>
        <v>0</v>
      </c>
      <c r="P58" s="129"/>
      <c r="Q58" s="129"/>
      <c r="R58" s="129"/>
      <c r="S58" s="111" t="str">
        <f>IF(SUM(D58:R58)&gt;0,SUM(D58:R58)/'Expenses Summary'!$H11,"")</f>
        <v/>
      </c>
    </row>
    <row r="59" spans="1:19" x14ac:dyDescent="0.2">
      <c r="A59" s="36"/>
      <c r="B59" s="67" t="str">
        <f>'Expenses Summary'!B13</f>
        <v>1300</v>
      </c>
      <c r="C59" s="67" t="str">
        <f>'Expenses Summary'!C13</f>
        <v>Certificated Supervisor and Administrator Salaries</v>
      </c>
      <c r="D59" s="64">
        <f>IF('Expenses Summary'!$H13="","",IF('Cash Flow %s Yr5'!D59="","",'Cash Flow %s Yr5'!D59*'Expenses Summary'!$H13))</f>
        <v>5923.8799425000007</v>
      </c>
      <c r="E59" s="64">
        <f>IF('Expenses Summary'!$H13="","",IF('Cash Flow %s Yr5'!E59="","",'Cash Flow %s Yr5'!E59*'Expenses Summary'!$H13))</f>
        <v>5923.8799425000007</v>
      </c>
      <c r="F59" s="64">
        <f>IF('Expenses Summary'!$H13="","",IF('Cash Flow %s Yr5'!F59="","",'Cash Flow %s Yr5'!F59*'Expenses Summary'!$H13))</f>
        <v>5923.8799425000007</v>
      </c>
      <c r="G59" s="64">
        <f>IF('Expenses Summary'!$H13="","",IF('Cash Flow %s Yr5'!G59="","",'Cash Flow %s Yr5'!G59*'Expenses Summary'!$H13))</f>
        <v>5923.8799425000007</v>
      </c>
      <c r="H59" s="64">
        <f>IF('Expenses Summary'!$H13="","",IF('Cash Flow %s Yr5'!H59="","",'Cash Flow %s Yr5'!H59*'Expenses Summary'!$H13))</f>
        <v>5923.8799425000007</v>
      </c>
      <c r="I59" s="64">
        <f>IF('Expenses Summary'!$H13="","",IF('Cash Flow %s Yr5'!I59="","",'Cash Flow %s Yr5'!I59*'Expenses Summary'!$H13))</f>
        <v>5923.8799425000007</v>
      </c>
      <c r="J59" s="64">
        <f>IF('Expenses Summary'!$H13="","",IF('Cash Flow %s Yr5'!J59="","",'Cash Flow %s Yr5'!J59*'Expenses Summary'!$H13))</f>
        <v>5923.8799425000007</v>
      </c>
      <c r="K59" s="64">
        <f>IF('Expenses Summary'!$H13="","",IF('Cash Flow %s Yr5'!K59="","",'Cash Flow %s Yr5'!K59*'Expenses Summary'!$H13))</f>
        <v>5923.8799425000007</v>
      </c>
      <c r="L59" s="64">
        <f>IF('Expenses Summary'!$H13="","",IF('Cash Flow %s Yr5'!L59="","",'Cash Flow %s Yr5'!L59*'Expenses Summary'!$H13))</f>
        <v>5995.2519900000007</v>
      </c>
      <c r="M59" s="64">
        <f>IF('Expenses Summary'!$H13="","",IF('Cash Flow %s Yr5'!M59="","",'Cash Flow %s Yr5'!M59*'Expenses Summary'!$H13))</f>
        <v>5995.2519900000007</v>
      </c>
      <c r="N59" s="64">
        <f>IF('Expenses Summary'!$H13="","",IF('Cash Flow %s Yr5'!N59="","",'Cash Flow %s Yr5'!N59*'Expenses Summary'!$H13))</f>
        <v>5995.2519900000007</v>
      </c>
      <c r="O59" s="64">
        <f>IF('Expenses Summary'!$H13="","",IF('Cash Flow %s Yr5'!O59="","",'Cash Flow %s Yr5'!O59*'Expenses Summary'!$H13))</f>
        <v>5995.2519900000007</v>
      </c>
      <c r="P59" s="129"/>
      <c r="Q59" s="129"/>
      <c r="R59" s="129"/>
      <c r="S59" s="111">
        <f>IF(SUM(D59:R59)&gt;0,SUM(D59:R59)/'Expenses Summary'!$H13,"")</f>
        <v>1.0000000000000004</v>
      </c>
    </row>
    <row r="60" spans="1:19" x14ac:dyDescent="0.2">
      <c r="A60" s="36"/>
      <c r="B60" s="67" t="str">
        <f>'Expenses Summary'!B14</f>
        <v>1305</v>
      </c>
      <c r="C60" s="67" t="str">
        <f>'Expenses Summary'!C14</f>
        <v>Certificated Supervisor and Administrator Bonuses</v>
      </c>
      <c r="D60" s="64">
        <f>IF('Expenses Summary'!$H14="","",IF('Cash Flow %s Yr5'!D60="","",'Cash Flow %s Yr5'!D60*'Expenses Summary'!$H14))</f>
        <v>0</v>
      </c>
      <c r="E60" s="64">
        <f>IF('Expenses Summary'!$H14="","",IF('Cash Flow %s Yr5'!E60="","",'Cash Flow %s Yr5'!E60*'Expenses Summary'!$H14))</f>
        <v>0</v>
      </c>
      <c r="F60" s="64">
        <f>IF('Expenses Summary'!$H14="","",IF('Cash Flow %s Yr5'!F60="","",'Cash Flow %s Yr5'!F60*'Expenses Summary'!$H14))</f>
        <v>0</v>
      </c>
      <c r="G60" s="64">
        <f>IF('Expenses Summary'!$H14="","",IF('Cash Flow %s Yr5'!G60="","",'Cash Flow %s Yr5'!G60*'Expenses Summary'!$H14))</f>
        <v>0</v>
      </c>
      <c r="H60" s="64">
        <f>IF('Expenses Summary'!$H14="","",IF('Cash Flow %s Yr5'!H60="","",'Cash Flow %s Yr5'!H60*'Expenses Summary'!$H14))</f>
        <v>0</v>
      </c>
      <c r="I60" s="64">
        <f>IF('Expenses Summary'!$H14="","",IF('Cash Flow %s Yr5'!I60="","",'Cash Flow %s Yr5'!I60*'Expenses Summary'!$H14))</f>
        <v>1500</v>
      </c>
      <c r="J60" s="64">
        <f>IF('Expenses Summary'!$H14="","",IF('Cash Flow %s Yr5'!J60="","",'Cash Flow %s Yr5'!J60*'Expenses Summary'!$H14))</f>
        <v>0</v>
      </c>
      <c r="K60" s="64">
        <f>IF('Expenses Summary'!$H14="","",IF('Cash Flow %s Yr5'!K60="","",'Cash Flow %s Yr5'!K60*'Expenses Summary'!$H14))</f>
        <v>0</v>
      </c>
      <c r="L60" s="64">
        <f>IF('Expenses Summary'!$H14="","",IF('Cash Flow %s Yr5'!L60="","",'Cash Flow %s Yr5'!L60*'Expenses Summary'!$H14))</f>
        <v>0</v>
      </c>
      <c r="M60" s="64">
        <f>IF('Expenses Summary'!$H14="","",IF('Cash Flow %s Yr5'!M60="","",'Cash Flow %s Yr5'!M60*'Expenses Summary'!$H14))</f>
        <v>0</v>
      </c>
      <c r="N60" s="64">
        <f>IF('Expenses Summary'!$H14="","",IF('Cash Flow %s Yr5'!N60="","",'Cash Flow %s Yr5'!N60*'Expenses Summary'!$H14))</f>
        <v>0</v>
      </c>
      <c r="O60" s="64">
        <f>IF('Expenses Summary'!$H14="","",IF('Cash Flow %s Yr5'!O60="","",'Cash Flow %s Yr5'!O60*'Expenses Summary'!$H14))</f>
        <v>0</v>
      </c>
      <c r="P60" s="129"/>
      <c r="Q60" s="129"/>
      <c r="R60" s="129"/>
      <c r="S60" s="111">
        <f>IF(SUM(D60:R60)&gt;0,SUM(D60:R60)/'Expenses Summary'!$H14,"")</f>
        <v>1</v>
      </c>
    </row>
    <row r="61" spans="1:19" x14ac:dyDescent="0.2">
      <c r="A61" s="36"/>
      <c r="B61" s="67" t="str">
        <f>'Expenses Summary'!B15</f>
        <v>1900</v>
      </c>
      <c r="C61" s="67" t="str">
        <f>'Expenses Summary'!C15</f>
        <v>Other Certificated Salaries</v>
      </c>
      <c r="D61" s="64">
        <f>IF('Expenses Summary'!$H15="","",IF('Cash Flow %s Yr5'!D61="","",'Cash Flow %s Yr5'!D61*'Expenses Summary'!$H15))</f>
        <v>0</v>
      </c>
      <c r="E61" s="64">
        <f>IF('Expenses Summary'!$H15="","",IF('Cash Flow %s Yr5'!E61="","",'Cash Flow %s Yr5'!E61*'Expenses Summary'!$H15))</f>
        <v>0</v>
      </c>
      <c r="F61" s="64">
        <f>IF('Expenses Summary'!$H15="","",IF('Cash Flow %s Yr5'!F61="","",'Cash Flow %s Yr5'!F61*'Expenses Summary'!$H15))</f>
        <v>0</v>
      </c>
      <c r="G61" s="64">
        <f>IF('Expenses Summary'!$H15="","",IF('Cash Flow %s Yr5'!G61="","",'Cash Flow %s Yr5'!G61*'Expenses Summary'!$H15))</f>
        <v>0</v>
      </c>
      <c r="H61" s="64">
        <f>IF('Expenses Summary'!$H15="","",IF('Cash Flow %s Yr5'!H61="","",'Cash Flow %s Yr5'!H61*'Expenses Summary'!$H15))</f>
        <v>0</v>
      </c>
      <c r="I61" s="64">
        <f>IF('Expenses Summary'!$H15="","",IF('Cash Flow %s Yr5'!I61="","",'Cash Flow %s Yr5'!I61*'Expenses Summary'!$H15))</f>
        <v>0</v>
      </c>
      <c r="J61" s="64">
        <f>IF('Expenses Summary'!$H15="","",IF('Cash Flow %s Yr5'!J61="","",'Cash Flow %s Yr5'!J61*'Expenses Summary'!$H15))</f>
        <v>0</v>
      </c>
      <c r="K61" s="64">
        <f>IF('Expenses Summary'!$H15="","",IF('Cash Flow %s Yr5'!K61="","",'Cash Flow %s Yr5'!K61*'Expenses Summary'!$H15))</f>
        <v>0</v>
      </c>
      <c r="L61" s="64">
        <f>IF('Expenses Summary'!$H15="","",IF('Cash Flow %s Yr5'!L61="","",'Cash Flow %s Yr5'!L61*'Expenses Summary'!$H15))</f>
        <v>0</v>
      </c>
      <c r="M61" s="64">
        <f>IF('Expenses Summary'!$H15="","",IF('Cash Flow %s Yr5'!M61="","",'Cash Flow %s Yr5'!M61*'Expenses Summary'!$H15))</f>
        <v>0</v>
      </c>
      <c r="N61" s="64">
        <f>IF('Expenses Summary'!$H15="","",IF('Cash Flow %s Yr5'!N61="","",'Cash Flow %s Yr5'!N61*'Expenses Summary'!$H15))</f>
        <v>0</v>
      </c>
      <c r="O61" s="64">
        <f>IF('Expenses Summary'!$H15="","",IF('Cash Flow %s Yr5'!O61="","",'Cash Flow %s Yr5'!O61*'Expenses Summary'!$H15))</f>
        <v>0</v>
      </c>
      <c r="P61" s="129"/>
      <c r="Q61" s="129"/>
      <c r="R61" s="129"/>
      <c r="S61" s="111" t="str">
        <f>IF(SUM(D61:R61)&gt;0,SUM(D61:R61)/'Expenses Summary'!$H15,"")</f>
        <v/>
      </c>
    </row>
    <row r="62" spans="1:19" x14ac:dyDescent="0.2">
      <c r="A62" s="36"/>
      <c r="B62" s="67" t="str">
        <f>'Expenses Summary'!B16</f>
        <v>1910</v>
      </c>
      <c r="C62" s="67" t="str">
        <f>'Expenses Summary'!C16</f>
        <v>Other Certificated Overtime</v>
      </c>
      <c r="D62" s="64">
        <f>IF('Expenses Summary'!$H16="","",IF('Cash Flow %s Yr5'!D62="","",'Cash Flow %s Yr5'!D62*'Expenses Summary'!$H16))</f>
        <v>0</v>
      </c>
      <c r="E62" s="64">
        <f>IF('Expenses Summary'!$H16="","",IF('Cash Flow %s Yr5'!E62="","",'Cash Flow %s Yr5'!E62*'Expenses Summary'!$H16))</f>
        <v>0</v>
      </c>
      <c r="F62" s="64">
        <f>IF('Expenses Summary'!$H16="","",IF('Cash Flow %s Yr5'!F62="","",'Cash Flow %s Yr5'!F62*'Expenses Summary'!$H16))</f>
        <v>0</v>
      </c>
      <c r="G62" s="64">
        <f>IF('Expenses Summary'!$H16="","",IF('Cash Flow %s Yr5'!G62="","",'Cash Flow %s Yr5'!G62*'Expenses Summary'!$H16))</f>
        <v>0</v>
      </c>
      <c r="H62" s="64">
        <f>IF('Expenses Summary'!$H16="","",IF('Cash Flow %s Yr5'!H62="","",'Cash Flow %s Yr5'!H62*'Expenses Summary'!$H16))</f>
        <v>0</v>
      </c>
      <c r="I62" s="64">
        <f>IF('Expenses Summary'!$H16="","",IF('Cash Flow %s Yr5'!I62="","",'Cash Flow %s Yr5'!I62*'Expenses Summary'!$H16))</f>
        <v>0</v>
      </c>
      <c r="J62" s="64">
        <f>IF('Expenses Summary'!$H16="","",IF('Cash Flow %s Yr5'!J62="","",'Cash Flow %s Yr5'!J62*'Expenses Summary'!$H16))</f>
        <v>0</v>
      </c>
      <c r="K62" s="64">
        <f>IF('Expenses Summary'!$H16="","",IF('Cash Flow %s Yr5'!K62="","",'Cash Flow %s Yr5'!K62*'Expenses Summary'!$H16))</f>
        <v>0</v>
      </c>
      <c r="L62" s="64">
        <f>IF('Expenses Summary'!$H16="","",IF('Cash Flow %s Yr5'!L62="","",'Cash Flow %s Yr5'!L62*'Expenses Summary'!$H16))</f>
        <v>0</v>
      </c>
      <c r="M62" s="64">
        <f>IF('Expenses Summary'!$H16="","",IF('Cash Flow %s Yr5'!M62="","",'Cash Flow %s Yr5'!M62*'Expenses Summary'!$H16))</f>
        <v>0</v>
      </c>
      <c r="N62" s="64">
        <f>IF('Expenses Summary'!$H16="","",IF('Cash Flow %s Yr5'!N62="","",'Cash Flow %s Yr5'!N62*'Expenses Summary'!$H16))</f>
        <v>0</v>
      </c>
      <c r="O62" s="64">
        <f>IF('Expenses Summary'!$H16="","",IF('Cash Flow %s Yr5'!O62="","",'Cash Flow %s Yr5'!O62*'Expenses Summary'!$H16))</f>
        <v>0</v>
      </c>
      <c r="P62" s="129"/>
      <c r="Q62" s="129"/>
      <c r="R62" s="129"/>
      <c r="S62" s="111" t="str">
        <f>IF(SUM(D62:R62)&gt;0,SUM(D62:R62)/'Expenses Summary'!$H16,"")</f>
        <v/>
      </c>
    </row>
    <row r="63" spans="1:19" x14ac:dyDescent="0.2">
      <c r="A63" s="36"/>
      <c r="B63" s="36" t="s">
        <v>555</v>
      </c>
      <c r="C63" s="34" t="s">
        <v>721</v>
      </c>
      <c r="D63" s="172">
        <f t="shared" ref="D63:I63" si="4">IF(SUM(D54:D62)&gt;0,SUM(D54:D62),"")</f>
        <v>27496.463414336999</v>
      </c>
      <c r="E63" s="172">
        <f t="shared" si="4"/>
        <v>27496.463414336999</v>
      </c>
      <c r="F63" s="172">
        <f t="shared" si="4"/>
        <v>27672.148454336999</v>
      </c>
      <c r="G63" s="172">
        <f t="shared" si="4"/>
        <v>27672.148454336999</v>
      </c>
      <c r="H63" s="172">
        <f t="shared" si="4"/>
        <v>27672.148454336999</v>
      </c>
      <c r="I63" s="172">
        <f t="shared" si="4"/>
        <v>30672.148454336999</v>
      </c>
      <c r="J63" s="172">
        <f t="shared" ref="J63:O63" si="5">IF(SUM(J54:J62)&gt;0,SUM(J54:J62),"")</f>
        <v>27672.148454336999</v>
      </c>
      <c r="K63" s="172">
        <f t="shared" si="5"/>
        <v>27672.148454336999</v>
      </c>
      <c r="L63" s="172">
        <f t="shared" si="5"/>
        <v>28003.431146076</v>
      </c>
      <c r="M63" s="172">
        <f t="shared" si="5"/>
        <v>28003.431146076</v>
      </c>
      <c r="N63" s="172">
        <f t="shared" si="5"/>
        <v>28003.431146076</v>
      </c>
      <c r="O63" s="172">
        <f t="shared" si="5"/>
        <v>28003.431146076</v>
      </c>
      <c r="P63" s="127"/>
      <c r="Q63" s="127"/>
      <c r="R63" s="127"/>
      <c r="S63" s="107"/>
    </row>
    <row r="64" spans="1:19" s="31" customFormat="1" x14ac:dyDescent="0.2">
      <c r="A64" s="36"/>
      <c r="B64" s="40"/>
      <c r="C64" s="3"/>
      <c r="D64" s="130"/>
      <c r="E64" s="130"/>
      <c r="F64" s="130"/>
      <c r="G64" s="130"/>
      <c r="H64" s="130"/>
      <c r="I64" s="130"/>
      <c r="J64" s="130"/>
      <c r="K64" s="130"/>
      <c r="L64" s="130"/>
      <c r="M64" s="130"/>
      <c r="N64" s="130"/>
      <c r="O64" s="130"/>
      <c r="P64" s="130"/>
      <c r="Q64" s="130"/>
      <c r="R64" s="130"/>
    </row>
    <row r="65" spans="1:19" s="31" customFormat="1" x14ac:dyDescent="0.2">
      <c r="B65" s="5" t="s">
        <v>734</v>
      </c>
      <c r="C65" s="3"/>
      <c r="D65" s="130"/>
      <c r="E65" s="130"/>
      <c r="F65" s="130"/>
      <c r="G65" s="130"/>
      <c r="H65" s="130"/>
      <c r="I65" s="130"/>
      <c r="J65" s="130"/>
      <c r="K65" s="130"/>
      <c r="L65" s="130"/>
      <c r="M65" s="130"/>
      <c r="N65" s="130"/>
      <c r="O65" s="130"/>
      <c r="P65" s="130"/>
      <c r="Q65" s="130"/>
      <c r="R65" s="130"/>
    </row>
    <row r="66" spans="1:19" s="31" customFormat="1" x14ac:dyDescent="0.2">
      <c r="A66" s="36"/>
      <c r="B66" s="67" t="str">
        <f>'Expenses Summary'!B20</f>
        <v>2100</v>
      </c>
      <c r="C66" s="67" t="str">
        <f>'Expenses Summary'!C20</f>
        <v>Instructional Aide Salaries</v>
      </c>
      <c r="D66" s="64">
        <f>IF('Expenses Summary'!$H20="","",IF('Cash Flow %s Yr5'!D66="","",'Cash Flow %s Yr5'!D66*'Expenses Summary'!$H20))</f>
        <v>0</v>
      </c>
      <c r="E66" s="64">
        <f>IF('Expenses Summary'!$H20="","",IF('Cash Flow %s Yr5'!E66="","",'Cash Flow %s Yr5'!E66*'Expenses Summary'!$H20))</f>
        <v>0</v>
      </c>
      <c r="F66" s="64">
        <f>IF('Expenses Summary'!$H20="","",IF('Cash Flow %s Yr5'!F66="","",'Cash Flow %s Yr5'!F66*'Expenses Summary'!$H20))</f>
        <v>9851.5386180000005</v>
      </c>
      <c r="G66" s="64">
        <f>IF('Expenses Summary'!$H20="","",IF('Cash Flow %s Yr5'!G66="","",'Cash Flow %s Yr5'!G66*'Expenses Summary'!$H20))</f>
        <v>9851.5386180000005</v>
      </c>
      <c r="H66" s="64">
        <f>IF('Expenses Summary'!$H20="","",IF('Cash Flow %s Yr5'!H66="","",'Cash Flow %s Yr5'!H66*'Expenses Summary'!$H20))</f>
        <v>9851.5386180000005</v>
      </c>
      <c r="I66" s="64">
        <f>IF('Expenses Summary'!$H20="","",IF('Cash Flow %s Yr5'!I66="","",'Cash Flow %s Yr5'!I66*'Expenses Summary'!$H20))</f>
        <v>9851.5386180000005</v>
      </c>
      <c r="J66" s="64">
        <f>IF('Expenses Summary'!$H20="","",IF('Cash Flow %s Yr5'!J66="","",'Cash Flow %s Yr5'!J66*'Expenses Summary'!$H20))</f>
        <v>9851.5386180000005</v>
      </c>
      <c r="K66" s="64">
        <f>IF('Expenses Summary'!$H20="","",IF('Cash Flow %s Yr5'!K66="","",'Cash Flow %s Yr5'!K66*'Expenses Summary'!$H20))</f>
        <v>9851.5386180000005</v>
      </c>
      <c r="L66" s="64">
        <f>IF('Expenses Summary'!$H20="","",IF('Cash Flow %s Yr5'!L66="","",'Cash Flow %s Yr5'!L66*'Expenses Summary'!$H20))</f>
        <v>9851.5386180000005</v>
      </c>
      <c r="M66" s="64">
        <f>IF('Expenses Summary'!$H20="","",IF('Cash Flow %s Yr5'!M66="","",'Cash Flow %s Yr5'!M66*'Expenses Summary'!$H20))</f>
        <v>9851.5386180000005</v>
      </c>
      <c r="N66" s="64">
        <f>IF('Expenses Summary'!$H20="","",IF('Cash Flow %s Yr5'!N66="","",'Cash Flow %s Yr5'!N66*'Expenses Summary'!$H20))</f>
        <v>9851.5386180000005</v>
      </c>
      <c r="O66" s="64">
        <f>IF('Expenses Summary'!$H20="","",IF('Cash Flow %s Yr5'!O66="","",'Cash Flow %s Yr5'!O66*'Expenses Summary'!$H20))</f>
        <v>9851.5386180000005</v>
      </c>
      <c r="P66" s="129"/>
      <c r="Q66" s="129"/>
      <c r="R66" s="129"/>
      <c r="S66" s="111">
        <f>IF(SUM(D66:R66)&gt;0,SUM(D66:R66)/'Expenses Summary'!$H20,"")</f>
        <v>1.0000000000000002</v>
      </c>
    </row>
    <row r="67" spans="1:19" s="31" customFormat="1" x14ac:dyDescent="0.2">
      <c r="A67" s="36"/>
      <c r="B67" s="67" t="str">
        <f>'Expenses Summary'!B21</f>
        <v>2110</v>
      </c>
      <c r="C67" s="67" t="str">
        <f>'Expenses Summary'!C21</f>
        <v>Instructional Aide Overtime</v>
      </c>
      <c r="D67" s="64">
        <f>IF('Expenses Summary'!$H21="","",IF('Cash Flow %s Yr5'!D67="","",'Cash Flow %s Yr5'!D67*'Expenses Summary'!$H21))</f>
        <v>0</v>
      </c>
      <c r="E67" s="64">
        <f>IF('Expenses Summary'!$H21="","",IF('Cash Flow %s Yr5'!E67="","",'Cash Flow %s Yr5'!E67*'Expenses Summary'!$H21))</f>
        <v>0</v>
      </c>
      <c r="F67" s="64">
        <f>IF('Expenses Summary'!$H21="","",IF('Cash Flow %s Yr5'!F67="","",'Cash Flow %s Yr5'!F67*'Expenses Summary'!$H21))</f>
        <v>0</v>
      </c>
      <c r="G67" s="64">
        <f>IF('Expenses Summary'!$H21="","",IF('Cash Flow %s Yr5'!G67="","",'Cash Flow %s Yr5'!G67*'Expenses Summary'!$H21))</f>
        <v>0</v>
      </c>
      <c r="H67" s="64">
        <f>IF('Expenses Summary'!$H21="","",IF('Cash Flow %s Yr5'!H67="","",'Cash Flow %s Yr5'!H67*'Expenses Summary'!$H21))</f>
        <v>0</v>
      </c>
      <c r="I67" s="64">
        <f>IF('Expenses Summary'!$H21="","",IF('Cash Flow %s Yr5'!I67="","",'Cash Flow %s Yr5'!I67*'Expenses Summary'!$H21))</f>
        <v>0</v>
      </c>
      <c r="J67" s="64">
        <f>IF('Expenses Summary'!$H21="","",IF('Cash Flow %s Yr5'!J67="","",'Cash Flow %s Yr5'!J67*'Expenses Summary'!$H21))</f>
        <v>0</v>
      </c>
      <c r="K67" s="64">
        <f>IF('Expenses Summary'!$H21="","",IF('Cash Flow %s Yr5'!K67="","",'Cash Flow %s Yr5'!K67*'Expenses Summary'!$H21))</f>
        <v>0</v>
      </c>
      <c r="L67" s="64">
        <f>IF('Expenses Summary'!$H21="","",IF('Cash Flow %s Yr5'!L67="","",'Cash Flow %s Yr5'!L67*'Expenses Summary'!$H21))</f>
        <v>0</v>
      </c>
      <c r="M67" s="64">
        <f>IF('Expenses Summary'!$H21="","",IF('Cash Flow %s Yr5'!M67="","",'Cash Flow %s Yr5'!M67*'Expenses Summary'!$H21))</f>
        <v>0</v>
      </c>
      <c r="N67" s="64">
        <f>IF('Expenses Summary'!$H21="","",IF('Cash Flow %s Yr5'!N67="","",'Cash Flow %s Yr5'!N67*'Expenses Summary'!$H21))</f>
        <v>0</v>
      </c>
      <c r="O67" s="64">
        <f>IF('Expenses Summary'!$H21="","",IF('Cash Flow %s Yr5'!O67="","",'Cash Flow %s Yr5'!O67*'Expenses Summary'!$H21))</f>
        <v>0</v>
      </c>
      <c r="P67" s="129"/>
      <c r="Q67" s="129"/>
      <c r="R67" s="129"/>
      <c r="S67" s="111" t="str">
        <f>IF(SUM(D67:R67)&gt;0,SUM(D67:R67)/'Expenses Summary'!$H21,"")</f>
        <v/>
      </c>
    </row>
    <row r="68" spans="1:19" s="31" customFormat="1" x14ac:dyDescent="0.2">
      <c r="A68" s="36"/>
      <c r="B68" s="67" t="str">
        <f>'Expenses Summary'!B22</f>
        <v>2200</v>
      </c>
      <c r="C68" s="67" t="str">
        <f>'Expenses Summary'!C22</f>
        <v>Classified Support Salaries</v>
      </c>
      <c r="D68" s="64">
        <f>IF('Expenses Summary'!$H22="","",IF('Cash Flow %s Yr5'!D68="","",'Cash Flow %s Yr5'!D68*'Expenses Summary'!$H22))</f>
        <v>0</v>
      </c>
      <c r="E68" s="64">
        <f>IF('Expenses Summary'!$H22="","",IF('Cash Flow %s Yr5'!E68="","",'Cash Flow %s Yr5'!E68*'Expenses Summary'!$H22))</f>
        <v>0</v>
      </c>
      <c r="F68" s="64">
        <f>IF('Expenses Summary'!$H22="","",IF('Cash Flow %s Yr5'!F68="","",'Cash Flow %s Yr5'!F68*'Expenses Summary'!$H22))</f>
        <v>0</v>
      </c>
      <c r="G68" s="64">
        <f>IF('Expenses Summary'!$H22="","",IF('Cash Flow %s Yr5'!G68="","",'Cash Flow %s Yr5'!G68*'Expenses Summary'!$H22))</f>
        <v>0</v>
      </c>
      <c r="H68" s="64">
        <f>IF('Expenses Summary'!$H22="","",IF('Cash Flow %s Yr5'!H68="","",'Cash Flow %s Yr5'!H68*'Expenses Summary'!$H22))</f>
        <v>0</v>
      </c>
      <c r="I68" s="64">
        <f>IF('Expenses Summary'!$H22="","",IF('Cash Flow %s Yr5'!I68="","",'Cash Flow %s Yr5'!I68*'Expenses Summary'!$H22))</f>
        <v>0</v>
      </c>
      <c r="J68" s="64">
        <f>IF('Expenses Summary'!$H22="","",IF('Cash Flow %s Yr5'!J68="","",'Cash Flow %s Yr5'!J68*'Expenses Summary'!$H22))</f>
        <v>0</v>
      </c>
      <c r="K68" s="64">
        <f>IF('Expenses Summary'!$H22="","",IF('Cash Flow %s Yr5'!K68="","",'Cash Flow %s Yr5'!K68*'Expenses Summary'!$H22))</f>
        <v>0</v>
      </c>
      <c r="L68" s="64">
        <f>IF('Expenses Summary'!$H22="","",IF('Cash Flow %s Yr5'!L68="","",'Cash Flow %s Yr5'!L68*'Expenses Summary'!$H22))</f>
        <v>0</v>
      </c>
      <c r="M68" s="64">
        <f>IF('Expenses Summary'!$H22="","",IF('Cash Flow %s Yr5'!M68="","",'Cash Flow %s Yr5'!M68*'Expenses Summary'!$H22))</f>
        <v>0</v>
      </c>
      <c r="N68" s="64">
        <f>IF('Expenses Summary'!$H22="","",IF('Cash Flow %s Yr5'!N68="","",'Cash Flow %s Yr5'!N68*'Expenses Summary'!$H22))</f>
        <v>0</v>
      </c>
      <c r="O68" s="64">
        <f>IF('Expenses Summary'!$H22="","",IF('Cash Flow %s Yr5'!O68="","",'Cash Flow %s Yr5'!O68*'Expenses Summary'!$H22))</f>
        <v>0</v>
      </c>
      <c r="P68" s="129"/>
      <c r="Q68" s="129"/>
      <c r="R68" s="129"/>
      <c r="S68" s="111" t="str">
        <f>IF(SUM(D68:R68)&gt;0,SUM(D68:R68)/'Expenses Summary'!$H22,"")</f>
        <v/>
      </c>
    </row>
    <row r="69" spans="1:19" s="31" customFormat="1" x14ac:dyDescent="0.2">
      <c r="A69" s="36"/>
      <c r="B69" s="67" t="str">
        <f>'Expenses Summary'!B23</f>
        <v>2210</v>
      </c>
      <c r="C69" s="67" t="str">
        <f>'Expenses Summary'!C23</f>
        <v>Classified Support Overtime</v>
      </c>
      <c r="D69" s="64">
        <f>IF('Expenses Summary'!$H23="","",IF('Cash Flow %s Yr5'!D69="","",'Cash Flow %s Yr5'!D69*'Expenses Summary'!$H23))</f>
        <v>0</v>
      </c>
      <c r="E69" s="64">
        <f>IF('Expenses Summary'!$H23="","",IF('Cash Flow %s Yr5'!E69="","",'Cash Flow %s Yr5'!E69*'Expenses Summary'!$H23))</f>
        <v>0</v>
      </c>
      <c r="F69" s="64">
        <f>IF('Expenses Summary'!$H23="","",IF('Cash Flow %s Yr5'!F69="","",'Cash Flow %s Yr5'!F69*'Expenses Summary'!$H23))</f>
        <v>0</v>
      </c>
      <c r="G69" s="64">
        <f>IF('Expenses Summary'!$H23="","",IF('Cash Flow %s Yr5'!G69="","",'Cash Flow %s Yr5'!G69*'Expenses Summary'!$H23))</f>
        <v>0</v>
      </c>
      <c r="H69" s="64">
        <f>IF('Expenses Summary'!$H23="","",IF('Cash Flow %s Yr5'!H69="","",'Cash Flow %s Yr5'!H69*'Expenses Summary'!$H23))</f>
        <v>0</v>
      </c>
      <c r="I69" s="64">
        <f>IF('Expenses Summary'!$H23="","",IF('Cash Flow %s Yr5'!I69="","",'Cash Flow %s Yr5'!I69*'Expenses Summary'!$H23))</f>
        <v>0</v>
      </c>
      <c r="J69" s="64">
        <f>IF('Expenses Summary'!$H23="","",IF('Cash Flow %s Yr5'!J69="","",'Cash Flow %s Yr5'!J69*'Expenses Summary'!$H23))</f>
        <v>0</v>
      </c>
      <c r="K69" s="64">
        <f>IF('Expenses Summary'!$H23="","",IF('Cash Flow %s Yr5'!K69="","",'Cash Flow %s Yr5'!K69*'Expenses Summary'!$H23))</f>
        <v>0</v>
      </c>
      <c r="L69" s="64">
        <f>IF('Expenses Summary'!$H23="","",IF('Cash Flow %s Yr5'!L69="","",'Cash Flow %s Yr5'!L69*'Expenses Summary'!$H23))</f>
        <v>0</v>
      </c>
      <c r="M69" s="64">
        <f>IF('Expenses Summary'!$H23="","",IF('Cash Flow %s Yr5'!M69="","",'Cash Flow %s Yr5'!M69*'Expenses Summary'!$H23))</f>
        <v>0</v>
      </c>
      <c r="N69" s="64">
        <f>IF('Expenses Summary'!$H23="","",IF('Cash Flow %s Yr5'!N69="","",'Cash Flow %s Yr5'!N69*'Expenses Summary'!$H23))</f>
        <v>0</v>
      </c>
      <c r="O69" s="64">
        <f>IF('Expenses Summary'!$H23="","",IF('Cash Flow %s Yr5'!O69="","",'Cash Flow %s Yr5'!O69*'Expenses Summary'!$H23))</f>
        <v>0</v>
      </c>
      <c r="P69" s="129"/>
      <c r="Q69" s="129"/>
      <c r="R69" s="129"/>
      <c r="S69" s="111" t="str">
        <f>IF(SUM(D69:R69)&gt;0,SUM(D69:R69)/'Expenses Summary'!$H23,"")</f>
        <v/>
      </c>
    </row>
    <row r="70" spans="1:19" s="31" customFormat="1" x14ac:dyDescent="0.2">
      <c r="A70" s="36"/>
      <c r="B70" s="67" t="str">
        <f>'Expenses Summary'!B24</f>
        <v>2300</v>
      </c>
      <c r="C70" s="67" t="str">
        <f>'Expenses Summary'!C24</f>
        <v>Classified Supervisor and Administrator Salaries</v>
      </c>
      <c r="D70" s="64">
        <f>IF('Expenses Summary'!$H24="","",IF('Cash Flow %s Yr5'!D70="","",'Cash Flow %s Yr5'!D70*'Expenses Summary'!$H24))</f>
        <v>0</v>
      </c>
      <c r="E70" s="64">
        <f>IF('Expenses Summary'!$H24="","",IF('Cash Flow %s Yr5'!E70="","",'Cash Flow %s Yr5'!E70*'Expenses Summary'!$H24))</f>
        <v>0</v>
      </c>
      <c r="F70" s="64">
        <f>IF('Expenses Summary'!$H24="","",IF('Cash Flow %s Yr5'!F70="","",'Cash Flow %s Yr5'!F70*'Expenses Summary'!$H24))</f>
        <v>0</v>
      </c>
      <c r="G70" s="64">
        <f>IF('Expenses Summary'!$H24="","",IF('Cash Flow %s Yr5'!G70="","",'Cash Flow %s Yr5'!G70*'Expenses Summary'!$H24))</f>
        <v>0</v>
      </c>
      <c r="H70" s="64">
        <f>IF('Expenses Summary'!$H24="","",IF('Cash Flow %s Yr5'!H70="","",'Cash Flow %s Yr5'!H70*'Expenses Summary'!$H24))</f>
        <v>0</v>
      </c>
      <c r="I70" s="64">
        <f>IF('Expenses Summary'!$H24="","",IF('Cash Flow %s Yr5'!I70="","",'Cash Flow %s Yr5'!I70*'Expenses Summary'!$H24))</f>
        <v>0</v>
      </c>
      <c r="J70" s="64">
        <f>IF('Expenses Summary'!$H24="","",IF('Cash Flow %s Yr5'!J70="","",'Cash Flow %s Yr5'!J70*'Expenses Summary'!$H24))</f>
        <v>0</v>
      </c>
      <c r="K70" s="64">
        <f>IF('Expenses Summary'!$H24="","",IF('Cash Flow %s Yr5'!K70="","",'Cash Flow %s Yr5'!K70*'Expenses Summary'!$H24))</f>
        <v>0</v>
      </c>
      <c r="L70" s="64">
        <f>IF('Expenses Summary'!$H24="","",IF('Cash Flow %s Yr5'!L70="","",'Cash Flow %s Yr5'!L70*'Expenses Summary'!$H24))</f>
        <v>0</v>
      </c>
      <c r="M70" s="64">
        <f>IF('Expenses Summary'!$H24="","",IF('Cash Flow %s Yr5'!M70="","",'Cash Flow %s Yr5'!M70*'Expenses Summary'!$H24))</f>
        <v>0</v>
      </c>
      <c r="N70" s="64">
        <f>IF('Expenses Summary'!$H24="","",IF('Cash Flow %s Yr5'!N70="","",'Cash Flow %s Yr5'!N70*'Expenses Summary'!$H24))</f>
        <v>0</v>
      </c>
      <c r="O70" s="64">
        <f>IF('Expenses Summary'!$H24="","",IF('Cash Flow %s Yr5'!O70="","",'Cash Flow %s Yr5'!O70*'Expenses Summary'!$H24))</f>
        <v>0</v>
      </c>
      <c r="P70" s="129"/>
      <c r="Q70" s="129"/>
      <c r="R70" s="129"/>
      <c r="S70" s="111" t="str">
        <f>IF(SUM(D70:R70)&gt;0,SUM(D70:R70)/'Expenses Summary'!$H24,"")</f>
        <v/>
      </c>
    </row>
    <row r="71" spans="1:19" s="31" customFormat="1" x14ac:dyDescent="0.2">
      <c r="A71" s="36"/>
      <c r="B71" s="67" t="str">
        <f>'Expenses Summary'!B25</f>
        <v>2400</v>
      </c>
      <c r="C71" s="67" t="str">
        <f>'Expenses Summary'!C25</f>
        <v>Clerical, Technical, and Office Staff Salaries</v>
      </c>
      <c r="D71" s="64">
        <f>IF('Expenses Summary'!$H25="","",IF('Cash Flow %s Yr5'!D71="","",'Cash Flow %s Yr5'!D71*'Expenses Summary'!$H25))</f>
        <v>0</v>
      </c>
      <c r="E71" s="64">
        <f>IF('Expenses Summary'!$H25="","",IF('Cash Flow %s Yr5'!E71="","",'Cash Flow %s Yr5'!E71*'Expenses Summary'!$H25))</f>
        <v>0</v>
      </c>
      <c r="F71" s="64">
        <f>IF('Expenses Summary'!$H25="","",IF('Cash Flow %s Yr5'!F71="","",'Cash Flow %s Yr5'!F71*'Expenses Summary'!$H25))</f>
        <v>2042.3385900000003</v>
      </c>
      <c r="G71" s="64">
        <f>IF('Expenses Summary'!$H25="","",IF('Cash Flow %s Yr5'!G71="","",'Cash Flow %s Yr5'!G71*'Expenses Summary'!$H25))</f>
        <v>2042.3385900000003</v>
      </c>
      <c r="H71" s="64">
        <f>IF('Expenses Summary'!$H25="","",IF('Cash Flow %s Yr5'!H71="","",'Cash Flow %s Yr5'!H71*'Expenses Summary'!$H25))</f>
        <v>2042.3385900000003</v>
      </c>
      <c r="I71" s="64">
        <f>IF('Expenses Summary'!$H25="","",IF('Cash Flow %s Yr5'!I71="","",'Cash Flow %s Yr5'!I71*'Expenses Summary'!$H25))</f>
        <v>2042.3385900000003</v>
      </c>
      <c r="J71" s="64">
        <f>IF('Expenses Summary'!$H25="","",IF('Cash Flow %s Yr5'!J71="","",'Cash Flow %s Yr5'!J71*'Expenses Summary'!$H25))</f>
        <v>2042.3385900000003</v>
      </c>
      <c r="K71" s="64">
        <f>IF('Expenses Summary'!$H25="","",IF('Cash Flow %s Yr5'!K71="","",'Cash Flow %s Yr5'!K71*'Expenses Summary'!$H25))</f>
        <v>2042.3385900000003</v>
      </c>
      <c r="L71" s="64">
        <f>IF('Expenses Summary'!$H25="","",IF('Cash Flow %s Yr5'!L71="","",'Cash Flow %s Yr5'!L71*'Expenses Summary'!$H25))</f>
        <v>2042.3385900000003</v>
      </c>
      <c r="M71" s="64">
        <f>IF('Expenses Summary'!$H25="","",IF('Cash Flow %s Yr5'!M71="","",'Cash Flow %s Yr5'!M71*'Expenses Summary'!$H25))</f>
        <v>2042.3385900000003</v>
      </c>
      <c r="N71" s="64">
        <f>IF('Expenses Summary'!$H25="","",IF('Cash Flow %s Yr5'!N71="","",'Cash Flow %s Yr5'!N71*'Expenses Summary'!$H25))</f>
        <v>2042.3385900000003</v>
      </c>
      <c r="O71" s="64">
        <f>IF('Expenses Summary'!$H25="","",IF('Cash Flow %s Yr5'!O71="","",'Cash Flow %s Yr5'!O71*'Expenses Summary'!$H25))</f>
        <v>2042.3385900000003</v>
      </c>
      <c r="P71" s="129"/>
      <c r="Q71" s="129"/>
      <c r="R71" s="129"/>
      <c r="S71" s="111">
        <f>IF(SUM(D71:R71)&gt;0,SUM(D71:R71)/'Expenses Summary'!$H25,"")</f>
        <v>0.99999999999999978</v>
      </c>
    </row>
    <row r="72" spans="1:19" s="31" customFormat="1" x14ac:dyDescent="0.2">
      <c r="A72" s="36"/>
      <c r="B72" s="67" t="str">
        <f>'Expenses Summary'!B26</f>
        <v>2410</v>
      </c>
      <c r="C72" s="67" t="str">
        <f>'Expenses Summary'!C26</f>
        <v>Clerical, Technical, and Office Staff Overtime</v>
      </c>
      <c r="D72" s="64">
        <f>IF('Expenses Summary'!$H26="","",IF('Cash Flow %s Yr5'!D72="","",'Cash Flow %s Yr5'!D72*'Expenses Summary'!$H26))</f>
        <v>0</v>
      </c>
      <c r="E72" s="64">
        <f>IF('Expenses Summary'!$H26="","",IF('Cash Flow %s Yr5'!E72="","",'Cash Flow %s Yr5'!E72*'Expenses Summary'!$H26))</f>
        <v>0</v>
      </c>
      <c r="F72" s="64">
        <f>IF('Expenses Summary'!$H26="","",IF('Cash Flow %s Yr5'!F72="","",'Cash Flow %s Yr5'!F72*'Expenses Summary'!$H26))</f>
        <v>0</v>
      </c>
      <c r="G72" s="64">
        <f>IF('Expenses Summary'!$H26="","",IF('Cash Flow %s Yr5'!G72="","",'Cash Flow %s Yr5'!G72*'Expenses Summary'!$H26))</f>
        <v>0</v>
      </c>
      <c r="H72" s="64">
        <f>IF('Expenses Summary'!$H26="","",IF('Cash Flow %s Yr5'!H72="","",'Cash Flow %s Yr5'!H72*'Expenses Summary'!$H26))</f>
        <v>0</v>
      </c>
      <c r="I72" s="64">
        <f>IF('Expenses Summary'!$H26="","",IF('Cash Flow %s Yr5'!I72="","",'Cash Flow %s Yr5'!I72*'Expenses Summary'!$H26))</f>
        <v>0</v>
      </c>
      <c r="J72" s="64">
        <f>IF('Expenses Summary'!$H26="","",IF('Cash Flow %s Yr5'!J72="","",'Cash Flow %s Yr5'!J72*'Expenses Summary'!$H26))</f>
        <v>0</v>
      </c>
      <c r="K72" s="64">
        <f>IF('Expenses Summary'!$H26="","",IF('Cash Flow %s Yr5'!K72="","",'Cash Flow %s Yr5'!K72*'Expenses Summary'!$H26))</f>
        <v>0</v>
      </c>
      <c r="L72" s="64">
        <f>IF('Expenses Summary'!$H26="","",IF('Cash Flow %s Yr5'!L72="","",'Cash Flow %s Yr5'!L72*'Expenses Summary'!$H26))</f>
        <v>0</v>
      </c>
      <c r="M72" s="64">
        <f>IF('Expenses Summary'!$H26="","",IF('Cash Flow %s Yr5'!M72="","",'Cash Flow %s Yr5'!M72*'Expenses Summary'!$H26))</f>
        <v>0</v>
      </c>
      <c r="N72" s="64">
        <f>IF('Expenses Summary'!$H26="","",IF('Cash Flow %s Yr5'!N72="","",'Cash Flow %s Yr5'!N72*'Expenses Summary'!$H26))</f>
        <v>0</v>
      </c>
      <c r="O72" s="64">
        <f>IF('Expenses Summary'!$H26="","",IF('Cash Flow %s Yr5'!O72="","",'Cash Flow %s Yr5'!O72*'Expenses Summary'!$H26))</f>
        <v>0</v>
      </c>
      <c r="P72" s="129"/>
      <c r="Q72" s="129"/>
      <c r="R72" s="129"/>
      <c r="S72" s="111" t="str">
        <f>IF(SUM(D72:R72)&gt;0,SUM(D72:R72)/'Expenses Summary'!$H26,"")</f>
        <v/>
      </c>
    </row>
    <row r="73" spans="1:19" s="31" customFormat="1" x14ac:dyDescent="0.2">
      <c r="A73" s="36"/>
      <c r="B73" s="67" t="str">
        <f>'Expenses Summary'!B27</f>
        <v>2900</v>
      </c>
      <c r="C73" s="67" t="str">
        <f>'Expenses Summary'!C27</f>
        <v>Other Classified Salaries</v>
      </c>
      <c r="D73" s="64">
        <f>IF('Expenses Summary'!$H27="","",IF('Cash Flow %s Yr5'!D73="","",'Cash Flow %s Yr5'!D73*'Expenses Summary'!$H27))</f>
        <v>0</v>
      </c>
      <c r="E73" s="64">
        <f>IF('Expenses Summary'!$H27="","",IF('Cash Flow %s Yr5'!E73="","",'Cash Flow %s Yr5'!E73*'Expenses Summary'!$H27))</f>
        <v>0</v>
      </c>
      <c r="F73" s="64">
        <f>IF('Expenses Summary'!$H27="","",IF('Cash Flow %s Yr5'!F73="","",'Cash Flow %s Yr5'!F73*'Expenses Summary'!$H27))</f>
        <v>0</v>
      </c>
      <c r="G73" s="64">
        <f>IF('Expenses Summary'!$H27="","",IF('Cash Flow %s Yr5'!G73="","",'Cash Flow %s Yr5'!G73*'Expenses Summary'!$H27))</f>
        <v>0</v>
      </c>
      <c r="H73" s="64">
        <f>IF('Expenses Summary'!$H27="","",IF('Cash Flow %s Yr5'!H73="","",'Cash Flow %s Yr5'!H73*'Expenses Summary'!$H27))</f>
        <v>0</v>
      </c>
      <c r="I73" s="64">
        <f>IF('Expenses Summary'!$H27="","",IF('Cash Flow %s Yr5'!I73="","",'Cash Flow %s Yr5'!I73*'Expenses Summary'!$H27))</f>
        <v>0</v>
      </c>
      <c r="J73" s="64">
        <f>IF('Expenses Summary'!$H27="","",IF('Cash Flow %s Yr5'!J73="","",'Cash Flow %s Yr5'!J73*'Expenses Summary'!$H27))</f>
        <v>0</v>
      </c>
      <c r="K73" s="64">
        <f>IF('Expenses Summary'!$H27="","",IF('Cash Flow %s Yr5'!K73="","",'Cash Flow %s Yr5'!K73*'Expenses Summary'!$H27))</f>
        <v>0</v>
      </c>
      <c r="L73" s="64">
        <f>IF('Expenses Summary'!$H27="","",IF('Cash Flow %s Yr5'!L73="","",'Cash Flow %s Yr5'!L73*'Expenses Summary'!$H27))</f>
        <v>0</v>
      </c>
      <c r="M73" s="64">
        <f>IF('Expenses Summary'!$H27="","",IF('Cash Flow %s Yr5'!M73="","",'Cash Flow %s Yr5'!M73*'Expenses Summary'!$H27))</f>
        <v>0</v>
      </c>
      <c r="N73" s="64">
        <f>IF('Expenses Summary'!$H27="","",IF('Cash Flow %s Yr5'!N73="","",'Cash Flow %s Yr5'!N73*'Expenses Summary'!$H27))</f>
        <v>0</v>
      </c>
      <c r="O73" s="64">
        <f>IF('Expenses Summary'!$H27="","",IF('Cash Flow %s Yr5'!O73="","",'Cash Flow %s Yr5'!O73*'Expenses Summary'!$H27))</f>
        <v>0</v>
      </c>
      <c r="P73" s="129"/>
      <c r="Q73" s="129"/>
      <c r="R73" s="129"/>
      <c r="S73" s="111" t="str">
        <f>IF(SUM(D73:R73)&gt;0,SUM(D73:R73)/'Expenses Summary'!$H27,"")</f>
        <v/>
      </c>
    </row>
    <row r="74" spans="1:19" s="31" customFormat="1" x14ac:dyDescent="0.2">
      <c r="A74" s="36"/>
      <c r="B74" s="67" t="str">
        <f>'Expenses Summary'!B28</f>
        <v>2905</v>
      </c>
      <c r="C74" s="67" t="str">
        <f>'Expenses Summary'!C28</f>
        <v>Other Stipends</v>
      </c>
      <c r="D74" s="64">
        <f>IF('Expenses Summary'!$H28="","",IF('Cash Flow %s Yr5'!D74="","",'Cash Flow %s Yr5'!D74*'Expenses Summary'!$H28))</f>
        <v>0</v>
      </c>
      <c r="E74" s="64">
        <f>IF('Expenses Summary'!$H28="","",IF('Cash Flow %s Yr5'!E74="","",'Cash Flow %s Yr5'!E74*'Expenses Summary'!$H28))</f>
        <v>0</v>
      </c>
      <c r="F74" s="64">
        <f>IF('Expenses Summary'!$H28="","",IF('Cash Flow %s Yr5'!F74="","",'Cash Flow %s Yr5'!F74*'Expenses Summary'!$H28))</f>
        <v>0</v>
      </c>
      <c r="G74" s="64">
        <f>IF('Expenses Summary'!$H28="","",IF('Cash Flow %s Yr5'!G74="","",'Cash Flow %s Yr5'!G74*'Expenses Summary'!$H28))</f>
        <v>0</v>
      </c>
      <c r="H74" s="64">
        <f>IF('Expenses Summary'!$H28="","",IF('Cash Flow %s Yr5'!H74="","",'Cash Flow %s Yr5'!H74*'Expenses Summary'!$H28))</f>
        <v>0</v>
      </c>
      <c r="I74" s="64">
        <f>IF('Expenses Summary'!$H28="","",IF('Cash Flow %s Yr5'!I74="","",'Cash Flow %s Yr5'!I74*'Expenses Summary'!$H28))</f>
        <v>0</v>
      </c>
      <c r="J74" s="64">
        <f>IF('Expenses Summary'!$H28="","",IF('Cash Flow %s Yr5'!J74="","",'Cash Flow %s Yr5'!J74*'Expenses Summary'!$H28))</f>
        <v>0</v>
      </c>
      <c r="K74" s="64">
        <f>IF('Expenses Summary'!$H28="","",IF('Cash Flow %s Yr5'!K74="","",'Cash Flow %s Yr5'!K74*'Expenses Summary'!$H28))</f>
        <v>0</v>
      </c>
      <c r="L74" s="64">
        <f>IF('Expenses Summary'!$H28="","",IF('Cash Flow %s Yr5'!L74="","",'Cash Flow %s Yr5'!L74*'Expenses Summary'!$H28))</f>
        <v>0</v>
      </c>
      <c r="M74" s="64">
        <f>IF('Expenses Summary'!$H28="","",IF('Cash Flow %s Yr5'!M74="","",'Cash Flow %s Yr5'!M74*'Expenses Summary'!$H28))</f>
        <v>0</v>
      </c>
      <c r="N74" s="64">
        <f>IF('Expenses Summary'!$H28="","",IF('Cash Flow %s Yr5'!N74="","",'Cash Flow %s Yr5'!N74*'Expenses Summary'!$H28))</f>
        <v>0</v>
      </c>
      <c r="O74" s="64">
        <f>IF('Expenses Summary'!$H28="","",IF('Cash Flow %s Yr5'!O74="","",'Cash Flow %s Yr5'!O74*'Expenses Summary'!$H28))</f>
        <v>0</v>
      </c>
      <c r="P74" s="129"/>
      <c r="Q74" s="129"/>
      <c r="R74" s="129"/>
      <c r="S74" s="111" t="str">
        <f>IF(SUM(D74:R74)&gt;0,SUM(D74:R74)/'Expenses Summary'!$H28,"")</f>
        <v/>
      </c>
    </row>
    <row r="75" spans="1:19" s="31" customFormat="1" x14ac:dyDescent="0.2">
      <c r="A75" s="36"/>
      <c r="B75" s="67" t="str">
        <f>'Expenses Summary'!B29</f>
        <v>2910</v>
      </c>
      <c r="C75" s="67" t="str">
        <f>'Expenses Summary'!C29</f>
        <v>Other Classified Overtime</v>
      </c>
      <c r="D75" s="64">
        <f>IF('Expenses Summary'!$H29="","",IF('Cash Flow %s Yr5'!D75="","",'Cash Flow %s Yr5'!D75*'Expenses Summary'!$H29))</f>
        <v>0</v>
      </c>
      <c r="E75" s="64">
        <f>IF('Expenses Summary'!$H29="","",IF('Cash Flow %s Yr5'!E75="","",'Cash Flow %s Yr5'!E75*'Expenses Summary'!$H29))</f>
        <v>0</v>
      </c>
      <c r="F75" s="64">
        <f>IF('Expenses Summary'!$H29="","",IF('Cash Flow %s Yr5'!F75="","",'Cash Flow %s Yr5'!F75*'Expenses Summary'!$H29))</f>
        <v>0</v>
      </c>
      <c r="G75" s="64">
        <f>IF('Expenses Summary'!$H29="","",IF('Cash Flow %s Yr5'!G75="","",'Cash Flow %s Yr5'!G75*'Expenses Summary'!$H29))</f>
        <v>0</v>
      </c>
      <c r="H75" s="64">
        <f>IF('Expenses Summary'!$H29="","",IF('Cash Flow %s Yr5'!H75="","",'Cash Flow %s Yr5'!H75*'Expenses Summary'!$H29))</f>
        <v>0</v>
      </c>
      <c r="I75" s="64">
        <f>IF('Expenses Summary'!$H29="","",IF('Cash Flow %s Yr5'!I75="","",'Cash Flow %s Yr5'!I75*'Expenses Summary'!$H29))</f>
        <v>0</v>
      </c>
      <c r="J75" s="64">
        <f>IF('Expenses Summary'!$H29="","",IF('Cash Flow %s Yr5'!J75="","",'Cash Flow %s Yr5'!J75*'Expenses Summary'!$H29))</f>
        <v>0</v>
      </c>
      <c r="K75" s="64">
        <f>IF('Expenses Summary'!$H29="","",IF('Cash Flow %s Yr5'!K75="","",'Cash Flow %s Yr5'!K75*'Expenses Summary'!$H29))</f>
        <v>0</v>
      </c>
      <c r="L75" s="64">
        <f>IF('Expenses Summary'!$H29="","",IF('Cash Flow %s Yr5'!L75="","",'Cash Flow %s Yr5'!L75*'Expenses Summary'!$H29))</f>
        <v>0</v>
      </c>
      <c r="M75" s="64">
        <f>IF('Expenses Summary'!$H29="","",IF('Cash Flow %s Yr5'!M75="","",'Cash Flow %s Yr5'!M75*'Expenses Summary'!$H29))</f>
        <v>0</v>
      </c>
      <c r="N75" s="64">
        <f>IF('Expenses Summary'!$H29="","",IF('Cash Flow %s Yr5'!N75="","",'Cash Flow %s Yr5'!N75*'Expenses Summary'!$H29))</f>
        <v>0</v>
      </c>
      <c r="O75" s="64">
        <f>IF('Expenses Summary'!$H29="","",IF('Cash Flow %s Yr5'!O75="","",'Cash Flow %s Yr5'!O75*'Expenses Summary'!$H29))</f>
        <v>0</v>
      </c>
      <c r="P75" s="129"/>
      <c r="Q75" s="129"/>
      <c r="R75" s="129"/>
      <c r="S75" s="111" t="str">
        <f>IF(SUM(D75:R75)&gt;0,SUM(D75:R75)/'Expenses Summary'!$H29,"")</f>
        <v/>
      </c>
    </row>
    <row r="76" spans="1:19" s="31" customFormat="1" x14ac:dyDescent="0.2">
      <c r="A76" s="36"/>
      <c r="B76" s="43" t="s">
        <v>738</v>
      </c>
      <c r="C76" s="34" t="s">
        <v>721</v>
      </c>
      <c r="D76" s="172" t="str">
        <f t="shared" ref="D76:I76" si="6">IF(SUM(D65:D75)&gt;0,SUM(D65:D75),"")</f>
        <v/>
      </c>
      <c r="E76" s="172" t="str">
        <f t="shared" si="6"/>
        <v/>
      </c>
      <c r="F76" s="172">
        <f t="shared" si="6"/>
        <v>11893.877208000002</v>
      </c>
      <c r="G76" s="172">
        <f t="shared" si="6"/>
        <v>11893.877208000002</v>
      </c>
      <c r="H76" s="172">
        <f t="shared" si="6"/>
        <v>11893.877208000002</v>
      </c>
      <c r="I76" s="172">
        <f t="shared" si="6"/>
        <v>11893.877208000002</v>
      </c>
      <c r="J76" s="172">
        <f t="shared" ref="J76:O76" si="7">IF(SUM(J65:J75)&gt;0,SUM(J65:J75),"")</f>
        <v>11893.877208000002</v>
      </c>
      <c r="K76" s="172">
        <f t="shared" si="7"/>
        <v>11893.877208000002</v>
      </c>
      <c r="L76" s="172">
        <f t="shared" si="7"/>
        <v>11893.877208000002</v>
      </c>
      <c r="M76" s="172">
        <f t="shared" si="7"/>
        <v>11893.877208000002</v>
      </c>
      <c r="N76" s="172">
        <f t="shared" si="7"/>
        <v>11893.877208000002</v>
      </c>
      <c r="O76" s="172">
        <f t="shared" si="7"/>
        <v>11893.877208000002</v>
      </c>
      <c r="P76" s="100"/>
      <c r="Q76" s="100"/>
      <c r="R76" s="100"/>
      <c r="S76" s="107"/>
    </row>
    <row r="77" spans="1:19" s="31" customFormat="1" x14ac:dyDescent="0.2">
      <c r="A77" s="36"/>
      <c r="B77" s="40"/>
      <c r="C77" s="3"/>
      <c r="D77" s="102"/>
      <c r="E77" s="102"/>
      <c r="F77" s="102"/>
      <c r="G77" s="102"/>
      <c r="H77" s="102"/>
      <c r="I77" s="102"/>
      <c r="J77" s="102"/>
      <c r="K77" s="102"/>
      <c r="L77" s="102"/>
      <c r="M77" s="102"/>
      <c r="N77" s="102"/>
      <c r="O77" s="102"/>
      <c r="P77" s="102"/>
      <c r="Q77" s="102"/>
      <c r="R77" s="102"/>
    </row>
    <row r="78" spans="1:19" s="31" customFormat="1" x14ac:dyDescent="0.2">
      <c r="B78" s="34" t="s">
        <v>735</v>
      </c>
      <c r="C78" s="3"/>
      <c r="D78" s="102"/>
      <c r="E78" s="102"/>
      <c r="F78" s="102"/>
      <c r="G78" s="102"/>
      <c r="H78" s="102"/>
      <c r="I78" s="102"/>
      <c r="J78" s="102"/>
      <c r="K78" s="102"/>
      <c r="L78" s="102"/>
      <c r="M78" s="102"/>
      <c r="N78" s="102"/>
      <c r="O78" s="102"/>
      <c r="P78" s="102"/>
      <c r="Q78" s="102"/>
      <c r="R78" s="102"/>
    </row>
    <row r="79" spans="1:19" s="31" customFormat="1" x14ac:dyDescent="0.2">
      <c r="A79" s="36"/>
      <c r="B79" s="67" t="str">
        <f>'Expenses Summary'!B33</f>
        <v>3101</v>
      </c>
      <c r="C79" s="67" t="str">
        <f>'Expenses Summary'!C33</f>
        <v>State Teachers' Retirement System, certificated positions</v>
      </c>
      <c r="D79" s="64">
        <f>IF('Expenses Summary'!$H33="","",IF('Cash Flow %s Yr5'!D79="","",'Cash Flow %s Yr5'!D79*'Expenses Summary'!$H33))</f>
        <v>4024.7119922445895</v>
      </c>
      <c r="E79" s="64">
        <f>IF('Expenses Summary'!$H33="","",IF('Cash Flow %s Yr5'!E79="","",'Cash Flow %s Yr5'!E79*'Expenses Summary'!$H33))</f>
        <v>4024.7119922445895</v>
      </c>
      <c r="F79" s="64">
        <f>IF('Expenses Summary'!$H33="","",IF('Cash Flow %s Yr5'!F79="","",'Cash Flow %s Yr5'!F79*'Expenses Summary'!$H33))</f>
        <v>4024.7119922445895</v>
      </c>
      <c r="G79" s="64">
        <f>IF('Expenses Summary'!$H33="","",IF('Cash Flow %s Yr5'!G79="","",'Cash Flow %s Yr5'!G79*'Expenses Summary'!$H33))</f>
        <v>4024.7119922445895</v>
      </c>
      <c r="H79" s="64">
        <f>IF('Expenses Summary'!$H33="","",IF('Cash Flow %s Yr5'!H79="","",'Cash Flow %s Yr5'!H79*'Expenses Summary'!$H33))</f>
        <v>4024.7119922445895</v>
      </c>
      <c r="I79" s="64">
        <f>IF('Expenses Summary'!$H33="","",IF('Cash Flow %s Yr5'!I79="","",'Cash Flow %s Yr5'!I79*'Expenses Summary'!$H33))</f>
        <v>4024.7119922445895</v>
      </c>
      <c r="J79" s="64">
        <f>IF('Expenses Summary'!$H33="","",IF('Cash Flow %s Yr5'!J79="","",'Cash Flow %s Yr5'!J79*'Expenses Summary'!$H33))</f>
        <v>4024.7119922445895</v>
      </c>
      <c r="K79" s="64">
        <f>IF('Expenses Summary'!$H33="","",IF('Cash Flow %s Yr5'!K79="","",'Cash Flow %s Yr5'!K79*'Expenses Summary'!$H33))</f>
        <v>4024.7119922445895</v>
      </c>
      <c r="L79" s="64">
        <f>IF('Expenses Summary'!$H33="","",IF('Cash Flow %s Yr5'!L79="","",'Cash Flow %s Yr5'!L79*'Expenses Summary'!$H33))</f>
        <v>4073.2024981752475</v>
      </c>
      <c r="M79" s="64">
        <f>IF('Expenses Summary'!$H33="","",IF('Cash Flow %s Yr5'!M79="","",'Cash Flow %s Yr5'!M79*'Expenses Summary'!$H33))</f>
        <v>4073.2024981752475</v>
      </c>
      <c r="N79" s="64">
        <f>IF('Expenses Summary'!$H33="","",IF('Cash Flow %s Yr5'!N79="","",'Cash Flow %s Yr5'!N79*'Expenses Summary'!$H33))</f>
        <v>4073.2024981752475</v>
      </c>
      <c r="O79" s="64">
        <f>IF('Expenses Summary'!$H33="","",IF('Cash Flow %s Yr5'!O79="","",'Cash Flow %s Yr5'!O79*'Expenses Summary'!$H33))</f>
        <v>4073.2024981752475</v>
      </c>
      <c r="P79" s="129"/>
      <c r="Q79" s="129"/>
      <c r="R79" s="129"/>
      <c r="S79" s="111">
        <f>IF(SUM(D79:R79)&gt;0,SUM(D79:R79)/'Expenses Summary'!$H33,"")</f>
        <v>1</v>
      </c>
    </row>
    <row r="80" spans="1:19" s="31" customFormat="1" x14ac:dyDescent="0.2">
      <c r="A80" s="36"/>
      <c r="B80" s="67" t="str">
        <f>'Expenses Summary'!B34</f>
        <v>3202</v>
      </c>
      <c r="C80" s="67" t="str">
        <f>'Expenses Summary'!C34</f>
        <v>Public Employees' Retirement System, classified positions</v>
      </c>
      <c r="D80" s="64">
        <f>IF('Expenses Summary'!$H34="","",IF('Cash Flow %s Yr5'!D80="","",'Cash Flow %s Yr5'!D80*'Expenses Summary'!$H34))</f>
        <v>0</v>
      </c>
      <c r="E80" s="64">
        <f>IF('Expenses Summary'!$H34="","",IF('Cash Flow %s Yr5'!E80="","",'Cash Flow %s Yr5'!E80*'Expenses Summary'!$H34))</f>
        <v>0</v>
      </c>
      <c r="F80" s="64">
        <f>IF('Expenses Summary'!$H34="","",IF('Cash Flow %s Yr5'!F80="","",'Cash Flow %s Yr5'!F80*'Expenses Summary'!$H34))</f>
        <v>0</v>
      </c>
      <c r="G80" s="64">
        <f>IF('Expenses Summary'!$H34="","",IF('Cash Flow %s Yr5'!G80="","",'Cash Flow %s Yr5'!G80*'Expenses Summary'!$H34))</f>
        <v>0</v>
      </c>
      <c r="H80" s="64">
        <f>IF('Expenses Summary'!$H34="","",IF('Cash Flow %s Yr5'!H80="","",'Cash Flow %s Yr5'!H80*'Expenses Summary'!$H34))</f>
        <v>0</v>
      </c>
      <c r="I80" s="64">
        <f>IF('Expenses Summary'!$H34="","",IF('Cash Flow %s Yr5'!I80="","",'Cash Flow %s Yr5'!I80*'Expenses Summary'!$H34))</f>
        <v>0</v>
      </c>
      <c r="J80" s="64">
        <f>IF('Expenses Summary'!$H34="","",IF('Cash Flow %s Yr5'!J80="","",'Cash Flow %s Yr5'!J80*'Expenses Summary'!$H34))</f>
        <v>0</v>
      </c>
      <c r="K80" s="64">
        <f>IF('Expenses Summary'!$H34="","",IF('Cash Flow %s Yr5'!K80="","",'Cash Flow %s Yr5'!K80*'Expenses Summary'!$H34))</f>
        <v>0</v>
      </c>
      <c r="L80" s="64">
        <f>IF('Expenses Summary'!$H34="","",IF('Cash Flow %s Yr5'!L80="","",'Cash Flow %s Yr5'!L80*'Expenses Summary'!$H34))</f>
        <v>0</v>
      </c>
      <c r="M80" s="64">
        <f>IF('Expenses Summary'!$H34="","",IF('Cash Flow %s Yr5'!M80="","",'Cash Flow %s Yr5'!M80*'Expenses Summary'!$H34))</f>
        <v>0</v>
      </c>
      <c r="N80" s="64">
        <f>IF('Expenses Summary'!$H34="","",IF('Cash Flow %s Yr5'!N80="","",'Cash Flow %s Yr5'!N80*'Expenses Summary'!$H34))</f>
        <v>0</v>
      </c>
      <c r="O80" s="64">
        <f>IF('Expenses Summary'!$H34="","",IF('Cash Flow %s Yr5'!O80="","",'Cash Flow %s Yr5'!O80*'Expenses Summary'!$H34))</f>
        <v>0</v>
      </c>
      <c r="P80" s="129"/>
      <c r="Q80" s="129"/>
      <c r="R80" s="129"/>
      <c r="S80" s="111" t="str">
        <f>IF(SUM(D80:R80)&gt;0,SUM(D80:R80)/'Expenses Summary'!$H34,"")</f>
        <v/>
      </c>
    </row>
    <row r="81" spans="1:19" s="31" customFormat="1" x14ac:dyDescent="0.2">
      <c r="A81" s="36"/>
      <c r="B81" s="67" t="str">
        <f>'Expenses Summary'!B35</f>
        <v>3313</v>
      </c>
      <c r="C81" s="67" t="str">
        <f>'Expenses Summary'!C35</f>
        <v>OASDI</v>
      </c>
      <c r="D81" s="64">
        <f>IF('Expenses Summary'!$H35="","",IF('Cash Flow %s Yr5'!D81="","",'Cash Flow %s Yr5'!D81*'Expenses Summary'!$H35))</f>
        <v>616.99488016500004</v>
      </c>
      <c r="E81" s="64">
        <f>IF('Expenses Summary'!$H35="","",IF('Cash Flow %s Yr5'!E81="","",'Cash Flow %s Yr5'!E81*'Expenses Summary'!$H35))</f>
        <v>616.99488016500004</v>
      </c>
      <c r="F81" s="64">
        <f>IF('Expenses Summary'!$H35="","",IF('Cash Flow %s Yr5'!F81="","",'Cash Flow %s Yr5'!F81*'Expenses Summary'!$H35))</f>
        <v>616.99488016500004</v>
      </c>
      <c r="G81" s="64">
        <f>IF('Expenses Summary'!$H35="","",IF('Cash Flow %s Yr5'!G81="","",'Cash Flow %s Yr5'!G81*'Expenses Summary'!$H35))</f>
        <v>616.99488016500004</v>
      </c>
      <c r="H81" s="64">
        <f>IF('Expenses Summary'!$H35="","",IF('Cash Flow %s Yr5'!H81="","",'Cash Flow %s Yr5'!H81*'Expenses Summary'!$H35))</f>
        <v>616.99488016500004</v>
      </c>
      <c r="I81" s="64">
        <f>IF('Expenses Summary'!$H35="","",IF('Cash Flow %s Yr5'!I81="","",'Cash Flow %s Yr5'!I81*'Expenses Summary'!$H35))</f>
        <v>616.99488016500004</v>
      </c>
      <c r="J81" s="64">
        <f>IF('Expenses Summary'!$H35="","",IF('Cash Flow %s Yr5'!J81="","",'Cash Flow %s Yr5'!J81*'Expenses Summary'!$H35))</f>
        <v>616.99488016500004</v>
      </c>
      <c r="K81" s="64">
        <f>IF('Expenses Summary'!$H35="","",IF('Cash Flow %s Yr5'!K81="","",'Cash Flow %s Yr5'!K81*'Expenses Summary'!$H35))</f>
        <v>616.99488016500004</v>
      </c>
      <c r="L81" s="64">
        <f>IF('Expenses Summary'!$H35="","",IF('Cash Flow %s Yr5'!L81="","",'Cash Flow %s Yr5'!L81*'Expenses Summary'!$H35))</f>
        <v>624.42855341999996</v>
      </c>
      <c r="M81" s="64">
        <f>IF('Expenses Summary'!$H35="","",IF('Cash Flow %s Yr5'!M81="","",'Cash Flow %s Yr5'!M81*'Expenses Summary'!$H35))</f>
        <v>624.42855341999996</v>
      </c>
      <c r="N81" s="64">
        <f>IF('Expenses Summary'!$H35="","",IF('Cash Flow %s Yr5'!N81="","",'Cash Flow %s Yr5'!N81*'Expenses Summary'!$H35))</f>
        <v>624.42855341999996</v>
      </c>
      <c r="O81" s="64">
        <f>IF('Expenses Summary'!$H35="","",IF('Cash Flow %s Yr5'!O81="","",'Cash Flow %s Yr5'!O81*'Expenses Summary'!$H35))</f>
        <v>624.42855341999996</v>
      </c>
      <c r="P81" s="129"/>
      <c r="Q81" s="129"/>
      <c r="R81" s="129"/>
      <c r="S81" s="111">
        <f>IF(SUM(D81:R81)&gt;0,SUM(D81:R81)/'Expenses Summary'!$H35,"")</f>
        <v>0.99999999999999989</v>
      </c>
    </row>
    <row r="82" spans="1:19" s="31" customFormat="1" x14ac:dyDescent="0.2">
      <c r="A82" s="36"/>
      <c r="B82" s="67" t="str">
        <f>'Expenses Summary'!B36</f>
        <v>3323</v>
      </c>
      <c r="C82" s="67" t="str">
        <f>'Expenses Summary'!C36</f>
        <v>Medicare</v>
      </c>
      <c r="D82" s="64">
        <f>IF('Expenses Summary'!$H36="","",IF('Cash Flow %s Yr5'!D82="","",'Cash Flow %s Yr5'!D82*'Expenses Summary'!$H36))</f>
        <v>547.56640116256654</v>
      </c>
      <c r="E82" s="64">
        <f>IF('Expenses Summary'!$H36="","",IF('Cash Flow %s Yr5'!E82="","",'Cash Flow %s Yr5'!E82*'Expenses Summary'!$H36))</f>
        <v>547.56640116256654</v>
      </c>
      <c r="F82" s="64">
        <f>IF('Expenses Summary'!$H36="","",IF('Cash Flow %s Yr5'!F82="","",'Cash Flow %s Yr5'!F82*'Expenses Summary'!$H36))</f>
        <v>547.56640116256654</v>
      </c>
      <c r="G82" s="64">
        <f>IF('Expenses Summary'!$H36="","",IF('Cash Flow %s Yr5'!G82="","",'Cash Flow %s Yr5'!G82*'Expenses Summary'!$H36))</f>
        <v>547.56640116256654</v>
      </c>
      <c r="H82" s="64">
        <f>IF('Expenses Summary'!$H36="","",IF('Cash Flow %s Yr5'!H82="","",'Cash Flow %s Yr5'!H82*'Expenses Summary'!$H36))</f>
        <v>547.56640116256654</v>
      </c>
      <c r="I82" s="64">
        <f>IF('Expenses Summary'!$H36="","",IF('Cash Flow %s Yr5'!I82="","",'Cash Flow %s Yr5'!I82*'Expenses Summary'!$H36))</f>
        <v>547.56640116256654</v>
      </c>
      <c r="J82" s="64">
        <f>IF('Expenses Summary'!$H36="","",IF('Cash Flow %s Yr5'!J82="","",'Cash Flow %s Yr5'!J82*'Expenses Summary'!$H36))</f>
        <v>547.56640116256654</v>
      </c>
      <c r="K82" s="64">
        <f>IF('Expenses Summary'!$H36="","",IF('Cash Flow %s Yr5'!K82="","",'Cash Flow %s Yr5'!K82*'Expenses Summary'!$H36))</f>
        <v>547.56640116256654</v>
      </c>
      <c r="L82" s="64">
        <f>IF('Expenses Summary'!$H36="","",IF('Cash Flow %s Yr5'!L82="","",'Cash Flow %s Yr5'!L82*'Expenses Summary'!$H36))</f>
        <v>554.16358671874207</v>
      </c>
      <c r="M82" s="64">
        <f>IF('Expenses Summary'!$H36="","",IF('Cash Flow %s Yr5'!M82="","",'Cash Flow %s Yr5'!M82*'Expenses Summary'!$H36))</f>
        <v>554.16358671874207</v>
      </c>
      <c r="N82" s="64">
        <f>IF('Expenses Summary'!$H36="","",IF('Cash Flow %s Yr5'!N82="","",'Cash Flow %s Yr5'!N82*'Expenses Summary'!$H36))</f>
        <v>554.16358671874207</v>
      </c>
      <c r="O82" s="64">
        <f>IF('Expenses Summary'!$H36="","",IF('Cash Flow %s Yr5'!O82="","",'Cash Flow %s Yr5'!O82*'Expenses Summary'!$H36))</f>
        <v>554.16358671874207</v>
      </c>
      <c r="P82" s="129"/>
      <c r="Q82" s="129"/>
      <c r="R82" s="129"/>
      <c r="S82" s="111">
        <f>IF(SUM(D82:R82)&gt;0,SUM(D82:R82)/'Expenses Summary'!$H36,"")</f>
        <v>1.0000000000000004</v>
      </c>
    </row>
    <row r="83" spans="1:19" s="31" customFormat="1" x14ac:dyDescent="0.2">
      <c r="A83" s="36"/>
      <c r="B83" s="67" t="str">
        <f>'Expenses Summary'!B37</f>
        <v>3403</v>
      </c>
      <c r="C83" s="67" t="str">
        <f>'Expenses Summary'!C37</f>
        <v>Health &amp; Welfare Benefits</v>
      </c>
      <c r="D83" s="64">
        <f>IF('Expenses Summary'!$H37="","",IF('Cash Flow %s Yr5'!D83="","",'Cash Flow %s Yr5'!D83*'Expenses Summary'!$H37))</f>
        <v>6723</v>
      </c>
      <c r="E83" s="64">
        <f>IF('Expenses Summary'!$H37="","",IF('Cash Flow %s Yr5'!E83="","",'Cash Flow %s Yr5'!E83*'Expenses Summary'!$H37))</f>
        <v>6723</v>
      </c>
      <c r="F83" s="64">
        <f>IF('Expenses Summary'!$H37="","",IF('Cash Flow %s Yr5'!F83="","",'Cash Flow %s Yr5'!F83*'Expenses Summary'!$H37))</f>
        <v>6723</v>
      </c>
      <c r="G83" s="64">
        <f>IF('Expenses Summary'!$H37="","",IF('Cash Flow %s Yr5'!G83="","",'Cash Flow %s Yr5'!G83*'Expenses Summary'!$H37))</f>
        <v>6723</v>
      </c>
      <c r="H83" s="64">
        <f>IF('Expenses Summary'!$H37="","",IF('Cash Flow %s Yr5'!H83="","",'Cash Flow %s Yr5'!H83*'Expenses Summary'!$H37))</f>
        <v>6723</v>
      </c>
      <c r="I83" s="64">
        <f>IF('Expenses Summary'!$H37="","",IF('Cash Flow %s Yr5'!I83="","",'Cash Flow %s Yr5'!I83*'Expenses Summary'!$H37))</f>
        <v>6723</v>
      </c>
      <c r="J83" s="64">
        <f>IF('Expenses Summary'!$H37="","",IF('Cash Flow %s Yr5'!J83="","",'Cash Flow %s Yr5'!J83*'Expenses Summary'!$H37))</f>
        <v>6723</v>
      </c>
      <c r="K83" s="64">
        <f>IF('Expenses Summary'!$H37="","",IF('Cash Flow %s Yr5'!K83="","",'Cash Flow %s Yr5'!K83*'Expenses Summary'!$H37))</f>
        <v>6723</v>
      </c>
      <c r="L83" s="64">
        <f>IF('Expenses Summary'!$H37="","",IF('Cash Flow %s Yr5'!L83="","",'Cash Flow %s Yr5'!L83*'Expenses Summary'!$H37))</f>
        <v>6804</v>
      </c>
      <c r="M83" s="64">
        <f>IF('Expenses Summary'!$H37="","",IF('Cash Flow %s Yr5'!M83="","",'Cash Flow %s Yr5'!M83*'Expenses Summary'!$H37))</f>
        <v>6804</v>
      </c>
      <c r="N83" s="64">
        <f>IF('Expenses Summary'!$H37="","",IF('Cash Flow %s Yr5'!N83="","",'Cash Flow %s Yr5'!N83*'Expenses Summary'!$H37))</f>
        <v>6804</v>
      </c>
      <c r="O83" s="64">
        <f>IF('Expenses Summary'!$H37="","",IF('Cash Flow %s Yr5'!O83="","",'Cash Flow %s Yr5'!O83*'Expenses Summary'!$H37))</f>
        <v>6804</v>
      </c>
      <c r="P83" s="129"/>
      <c r="Q83" s="129"/>
      <c r="R83" s="129"/>
      <c r="S83" s="111">
        <f>IF(SUM(D83:R83)&gt;0,SUM(D83:R83)/'Expenses Summary'!$H37,"")</f>
        <v>1</v>
      </c>
    </row>
    <row r="84" spans="1:19" s="31" customFormat="1" x14ac:dyDescent="0.2">
      <c r="A84" s="36"/>
      <c r="B84" s="67" t="str">
        <f>'Expenses Summary'!B38</f>
        <v>3503</v>
      </c>
      <c r="C84" s="67" t="str">
        <f>'Expenses Summary'!C38</f>
        <v>State Unemployment Insurance</v>
      </c>
      <c r="D84" s="64">
        <f>IF('Expenses Summary'!$H38="","",IF('Cash Flow %s Yr5'!D84="","",'Cash Flow %s Yr5'!D84*'Expenses Summary'!$H38))</f>
        <v>755.26400160354001</v>
      </c>
      <c r="E84" s="64">
        <f>IF('Expenses Summary'!$H38="","",IF('Cash Flow %s Yr5'!E84="","",'Cash Flow %s Yr5'!E84*'Expenses Summary'!$H38))</f>
        <v>755.26400160354001</v>
      </c>
      <c r="F84" s="64">
        <f>IF('Expenses Summary'!$H38="","",IF('Cash Flow %s Yr5'!F84="","",'Cash Flow %s Yr5'!F84*'Expenses Summary'!$H38))</f>
        <v>755.26400160354001</v>
      </c>
      <c r="G84" s="64">
        <f>IF('Expenses Summary'!$H38="","",IF('Cash Flow %s Yr5'!G84="","",'Cash Flow %s Yr5'!G84*'Expenses Summary'!$H38))</f>
        <v>755.26400160354001</v>
      </c>
      <c r="H84" s="64">
        <f>IF('Expenses Summary'!$H38="","",IF('Cash Flow %s Yr5'!H84="","",'Cash Flow %s Yr5'!H84*'Expenses Summary'!$H38))</f>
        <v>755.26400160354001</v>
      </c>
      <c r="I84" s="64">
        <f>IF('Expenses Summary'!$H38="","",IF('Cash Flow %s Yr5'!I84="","",'Cash Flow %s Yr5'!I84*'Expenses Summary'!$H38))</f>
        <v>755.26400160354001</v>
      </c>
      <c r="J84" s="64">
        <f>IF('Expenses Summary'!$H38="","",IF('Cash Flow %s Yr5'!J84="","",'Cash Flow %s Yr5'!J84*'Expenses Summary'!$H38))</f>
        <v>755.26400160354001</v>
      </c>
      <c r="K84" s="64">
        <f>IF('Expenses Summary'!$H38="","",IF('Cash Flow %s Yr5'!K84="","",'Cash Flow %s Yr5'!K84*'Expenses Summary'!$H38))</f>
        <v>755.26400160354001</v>
      </c>
      <c r="L84" s="64">
        <f>IF('Expenses Summary'!$H38="","",IF('Cash Flow %s Yr5'!L84="","",'Cash Flow %s Yr5'!L84*'Expenses Summary'!$H38))</f>
        <v>764.36356788792</v>
      </c>
      <c r="M84" s="64">
        <f>IF('Expenses Summary'!$H38="","",IF('Cash Flow %s Yr5'!M84="","",'Cash Flow %s Yr5'!M84*'Expenses Summary'!$H38))</f>
        <v>764.36356788792</v>
      </c>
      <c r="N84" s="64">
        <f>IF('Expenses Summary'!$H38="","",IF('Cash Flow %s Yr5'!N84="","",'Cash Flow %s Yr5'!N84*'Expenses Summary'!$H38))</f>
        <v>764.36356788792</v>
      </c>
      <c r="O84" s="64">
        <f>IF('Expenses Summary'!$H38="","",IF('Cash Flow %s Yr5'!O84="","",'Cash Flow %s Yr5'!O84*'Expenses Summary'!$H38))</f>
        <v>764.36356788792</v>
      </c>
      <c r="P84" s="129"/>
      <c r="Q84" s="129"/>
      <c r="R84" s="129"/>
      <c r="S84" s="111">
        <f>IF(SUM(D84:R84)&gt;0,SUM(D84:R84)/'Expenses Summary'!$H38,"")</f>
        <v>1</v>
      </c>
    </row>
    <row r="85" spans="1:19" s="31" customFormat="1" x14ac:dyDescent="0.2">
      <c r="A85" s="36"/>
      <c r="B85" s="67" t="str">
        <f>'Expenses Summary'!B39</f>
        <v>3603</v>
      </c>
      <c r="C85" s="67" t="str">
        <f>'Expenses Summary'!C39</f>
        <v>Worker Compensation Insurance</v>
      </c>
      <c r="D85" s="64">
        <f>IF('Expenses Summary'!$H39="","",IF('Cash Flow %s Yr5'!D85="","",'Cash Flow %s Yr5'!D85*'Expenses Summary'!$H39))</f>
        <v>453.15840096212401</v>
      </c>
      <c r="E85" s="64">
        <f>IF('Expenses Summary'!$H39="","",IF('Cash Flow %s Yr5'!E85="","",'Cash Flow %s Yr5'!E85*'Expenses Summary'!$H39))</f>
        <v>453.15840096212401</v>
      </c>
      <c r="F85" s="64">
        <f>IF('Expenses Summary'!$H39="","",IF('Cash Flow %s Yr5'!F85="","",'Cash Flow %s Yr5'!F85*'Expenses Summary'!$H39))</f>
        <v>453.15840096212401</v>
      </c>
      <c r="G85" s="64">
        <f>IF('Expenses Summary'!$H39="","",IF('Cash Flow %s Yr5'!G85="","",'Cash Flow %s Yr5'!G85*'Expenses Summary'!$H39))</f>
        <v>453.15840096212401</v>
      </c>
      <c r="H85" s="64">
        <f>IF('Expenses Summary'!$H39="","",IF('Cash Flow %s Yr5'!H85="","",'Cash Flow %s Yr5'!H85*'Expenses Summary'!$H39))</f>
        <v>453.15840096212401</v>
      </c>
      <c r="I85" s="64">
        <f>IF('Expenses Summary'!$H39="","",IF('Cash Flow %s Yr5'!I85="","",'Cash Flow %s Yr5'!I85*'Expenses Summary'!$H39))</f>
        <v>453.15840096212401</v>
      </c>
      <c r="J85" s="64">
        <f>IF('Expenses Summary'!$H39="","",IF('Cash Flow %s Yr5'!J85="","",'Cash Flow %s Yr5'!J85*'Expenses Summary'!$H39))</f>
        <v>453.15840096212401</v>
      </c>
      <c r="K85" s="64">
        <f>IF('Expenses Summary'!$H39="","",IF('Cash Flow %s Yr5'!K85="","",'Cash Flow %s Yr5'!K85*'Expenses Summary'!$H39))</f>
        <v>453.15840096212401</v>
      </c>
      <c r="L85" s="64">
        <f>IF('Expenses Summary'!$H39="","",IF('Cash Flow %s Yr5'!L85="","",'Cash Flow %s Yr5'!L85*'Expenses Summary'!$H39))</f>
        <v>458.61814073275201</v>
      </c>
      <c r="M85" s="64">
        <f>IF('Expenses Summary'!$H39="","",IF('Cash Flow %s Yr5'!M85="","",'Cash Flow %s Yr5'!M85*'Expenses Summary'!$H39))</f>
        <v>458.61814073275201</v>
      </c>
      <c r="N85" s="64">
        <f>IF('Expenses Summary'!$H39="","",IF('Cash Flow %s Yr5'!N85="","",'Cash Flow %s Yr5'!N85*'Expenses Summary'!$H39))</f>
        <v>458.61814073275201</v>
      </c>
      <c r="O85" s="64">
        <f>IF('Expenses Summary'!$H39="","",IF('Cash Flow %s Yr5'!O85="","",'Cash Flow %s Yr5'!O85*'Expenses Summary'!$H39))</f>
        <v>458.61814073275201</v>
      </c>
      <c r="P85" s="129"/>
      <c r="Q85" s="129"/>
      <c r="R85" s="129"/>
      <c r="S85" s="111">
        <f>IF(SUM(D85:R85)&gt;0,SUM(D85:R85)/'Expenses Summary'!$H39,"")</f>
        <v>1</v>
      </c>
    </row>
    <row r="86" spans="1:19" s="31" customFormat="1" x14ac:dyDescent="0.2">
      <c r="A86" s="36"/>
      <c r="B86" s="67" t="str">
        <f>'Expenses Summary'!B40</f>
        <v>3703</v>
      </c>
      <c r="C86" s="67" t="str">
        <f>'Expenses Summary'!C40</f>
        <v>Other Post Employement Benefits</v>
      </c>
      <c r="D86" s="64">
        <f>IF('Expenses Summary'!$H40="","",IF('Cash Flow %s Yr5'!D86="","",'Cash Flow %s Yr5'!D86*'Expenses Summary'!$H40))</f>
        <v>0</v>
      </c>
      <c r="E86" s="64">
        <f>IF('Expenses Summary'!$H40="","",IF('Cash Flow %s Yr5'!E86="","",'Cash Flow %s Yr5'!E86*'Expenses Summary'!$H40))</f>
        <v>0</v>
      </c>
      <c r="F86" s="64">
        <f>IF('Expenses Summary'!$H40="","",IF('Cash Flow %s Yr5'!F86="","",'Cash Flow %s Yr5'!F86*'Expenses Summary'!$H40))</f>
        <v>0</v>
      </c>
      <c r="G86" s="64">
        <f>IF('Expenses Summary'!$H40="","",IF('Cash Flow %s Yr5'!G86="","",'Cash Flow %s Yr5'!G86*'Expenses Summary'!$H40))</f>
        <v>0</v>
      </c>
      <c r="H86" s="64">
        <f>IF('Expenses Summary'!$H40="","",IF('Cash Flow %s Yr5'!H86="","",'Cash Flow %s Yr5'!H86*'Expenses Summary'!$H40))</f>
        <v>0</v>
      </c>
      <c r="I86" s="64">
        <f>IF('Expenses Summary'!$H40="","",IF('Cash Flow %s Yr5'!I86="","",'Cash Flow %s Yr5'!I86*'Expenses Summary'!$H40))</f>
        <v>0</v>
      </c>
      <c r="J86" s="64">
        <f>IF('Expenses Summary'!$H40="","",IF('Cash Flow %s Yr5'!J86="","",'Cash Flow %s Yr5'!J86*'Expenses Summary'!$H40))</f>
        <v>0</v>
      </c>
      <c r="K86" s="64">
        <f>IF('Expenses Summary'!$H40="","",IF('Cash Flow %s Yr5'!K86="","",'Cash Flow %s Yr5'!K86*'Expenses Summary'!$H40))</f>
        <v>0</v>
      </c>
      <c r="L86" s="64">
        <f>IF('Expenses Summary'!$H40="","",IF('Cash Flow %s Yr5'!L86="","",'Cash Flow %s Yr5'!L86*'Expenses Summary'!$H40))</f>
        <v>0</v>
      </c>
      <c r="M86" s="64">
        <f>IF('Expenses Summary'!$H40="","",IF('Cash Flow %s Yr5'!M86="","",'Cash Flow %s Yr5'!M86*'Expenses Summary'!$H40))</f>
        <v>0</v>
      </c>
      <c r="N86" s="64">
        <f>IF('Expenses Summary'!$H40="","",IF('Cash Flow %s Yr5'!N86="","",'Cash Flow %s Yr5'!N86*'Expenses Summary'!$H40))</f>
        <v>0</v>
      </c>
      <c r="O86" s="64">
        <f>IF('Expenses Summary'!$H40="","",IF('Cash Flow %s Yr5'!O86="","",'Cash Flow %s Yr5'!O86*'Expenses Summary'!$H40))</f>
        <v>0</v>
      </c>
      <c r="P86" s="129"/>
      <c r="Q86" s="129"/>
      <c r="R86" s="129"/>
      <c r="S86" s="111" t="str">
        <f>IF(SUM(D86:R86)&gt;0,SUM(D86:R86)/'Expenses Summary'!$H40,"")</f>
        <v/>
      </c>
    </row>
    <row r="87" spans="1:19" s="31" customFormat="1" x14ac:dyDescent="0.2">
      <c r="A87" s="36"/>
      <c r="B87" s="67" t="str">
        <f>'Expenses Summary'!B41</f>
        <v>3903</v>
      </c>
      <c r="C87" s="67" t="str">
        <f>'Expenses Summary'!C41</f>
        <v>Other Benefits</v>
      </c>
      <c r="D87" s="64">
        <f>IF('Expenses Summary'!$H41="","",IF('Cash Flow %s Yr5'!D87="","",'Cash Flow %s Yr5'!D87*'Expenses Summary'!$H41))</f>
        <v>0</v>
      </c>
      <c r="E87" s="64">
        <f>IF('Expenses Summary'!$H41="","",IF('Cash Flow %s Yr5'!E87="","",'Cash Flow %s Yr5'!E87*'Expenses Summary'!$H41))</f>
        <v>0</v>
      </c>
      <c r="F87" s="64">
        <f>IF('Expenses Summary'!$H41="","",IF('Cash Flow %s Yr5'!F87="","",'Cash Flow %s Yr5'!F87*'Expenses Summary'!$H41))</f>
        <v>0</v>
      </c>
      <c r="G87" s="64">
        <f>IF('Expenses Summary'!$H41="","",IF('Cash Flow %s Yr5'!G87="","",'Cash Flow %s Yr5'!G87*'Expenses Summary'!$H41))</f>
        <v>0</v>
      </c>
      <c r="H87" s="64">
        <f>IF('Expenses Summary'!$H41="","",IF('Cash Flow %s Yr5'!H87="","",'Cash Flow %s Yr5'!H87*'Expenses Summary'!$H41))</f>
        <v>0</v>
      </c>
      <c r="I87" s="64">
        <f>IF('Expenses Summary'!$H41="","",IF('Cash Flow %s Yr5'!I87="","",'Cash Flow %s Yr5'!I87*'Expenses Summary'!$H41))</f>
        <v>0</v>
      </c>
      <c r="J87" s="64">
        <f>IF('Expenses Summary'!$H41="","",IF('Cash Flow %s Yr5'!J87="","",'Cash Flow %s Yr5'!J87*'Expenses Summary'!$H41))</f>
        <v>0</v>
      </c>
      <c r="K87" s="64">
        <f>IF('Expenses Summary'!$H41="","",IF('Cash Flow %s Yr5'!K87="","",'Cash Flow %s Yr5'!K87*'Expenses Summary'!$H41))</f>
        <v>0</v>
      </c>
      <c r="L87" s="64">
        <f>IF('Expenses Summary'!$H41="","",IF('Cash Flow %s Yr5'!L87="","",'Cash Flow %s Yr5'!L87*'Expenses Summary'!$H41))</f>
        <v>0</v>
      </c>
      <c r="M87" s="64">
        <f>IF('Expenses Summary'!$H41="","",IF('Cash Flow %s Yr5'!M87="","",'Cash Flow %s Yr5'!M87*'Expenses Summary'!$H41))</f>
        <v>0</v>
      </c>
      <c r="N87" s="64">
        <f>IF('Expenses Summary'!$H41="","",IF('Cash Flow %s Yr5'!N87="","",'Cash Flow %s Yr5'!N87*'Expenses Summary'!$H41))</f>
        <v>0</v>
      </c>
      <c r="O87" s="64">
        <f>IF('Expenses Summary'!$H41="","",IF('Cash Flow %s Yr5'!O87="","",'Cash Flow %s Yr5'!O87*'Expenses Summary'!$H41))</f>
        <v>0</v>
      </c>
      <c r="P87" s="129"/>
      <c r="Q87" s="129"/>
      <c r="R87" s="129"/>
      <c r="S87" s="111" t="str">
        <f>IF(SUM(D87:R87)&gt;0,SUM(D87:R87)/'Expenses Summary'!$H41,"")</f>
        <v/>
      </c>
    </row>
    <row r="88" spans="1:19" s="31" customFormat="1" x14ac:dyDescent="0.2">
      <c r="A88" s="36"/>
      <c r="B88" s="43" t="s">
        <v>739</v>
      </c>
      <c r="C88" s="34" t="s">
        <v>721</v>
      </c>
      <c r="D88" s="172">
        <f t="shared" ref="D88:O88" si="8">IF(SUM(D78:D87)&gt;0,SUM(D78:D87),"")</f>
        <v>13120.695676137821</v>
      </c>
      <c r="E88" s="172">
        <f t="shared" si="8"/>
        <v>13120.695676137821</v>
      </c>
      <c r="F88" s="172">
        <f t="shared" si="8"/>
        <v>13120.695676137821</v>
      </c>
      <c r="G88" s="172">
        <f t="shared" si="8"/>
        <v>13120.695676137821</v>
      </c>
      <c r="H88" s="172">
        <f t="shared" si="8"/>
        <v>13120.695676137821</v>
      </c>
      <c r="I88" s="172">
        <f t="shared" si="8"/>
        <v>13120.695676137821</v>
      </c>
      <c r="J88" s="172">
        <f t="shared" si="8"/>
        <v>13120.695676137821</v>
      </c>
      <c r="K88" s="172">
        <f t="shared" si="8"/>
        <v>13120.695676137821</v>
      </c>
      <c r="L88" s="172">
        <f t="shared" si="8"/>
        <v>13278.776346934661</v>
      </c>
      <c r="M88" s="172">
        <f t="shared" si="8"/>
        <v>13278.776346934661</v>
      </c>
      <c r="N88" s="172">
        <f t="shared" si="8"/>
        <v>13278.776346934661</v>
      </c>
      <c r="O88" s="172">
        <f t="shared" si="8"/>
        <v>13278.776346934661</v>
      </c>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row>
    <row r="90" spans="1:19" s="31" customFormat="1" x14ac:dyDescent="0.2">
      <c r="B90" s="34" t="s">
        <v>678</v>
      </c>
      <c r="C90" s="3"/>
      <c r="D90" s="95"/>
      <c r="E90" s="95"/>
      <c r="F90" s="95"/>
      <c r="G90" s="95"/>
      <c r="H90" s="95"/>
      <c r="I90" s="95"/>
      <c r="J90" s="95"/>
      <c r="K90" s="95"/>
      <c r="L90" s="95"/>
      <c r="M90" s="95"/>
      <c r="N90" s="95"/>
      <c r="O90" s="95"/>
      <c r="P90" s="95"/>
      <c r="Q90" s="95"/>
      <c r="R90" s="95"/>
    </row>
    <row r="91" spans="1:19" s="31" customFormat="1" x14ac:dyDescent="0.2">
      <c r="A91" s="36"/>
      <c r="B91" s="139" t="str">
        <f>'Expenses Summary'!B47</f>
        <v>4100</v>
      </c>
      <c r="C91" s="139" t="str">
        <f>'Expenses Summary'!C47</f>
        <v>Approved Textbooks and Core Curricula Materials</v>
      </c>
      <c r="D91" s="64">
        <f>IF('Expenses Summary'!$H47="","",IF('Cash Flow %s Yr5'!D91="","",'Cash Flow %s Yr5'!D91*'Expenses Summary'!$H47))</f>
        <v>0</v>
      </c>
      <c r="E91" s="64">
        <f>IF('Expenses Summary'!$H47="","",IF('Cash Flow %s Yr5'!E91="","",'Cash Flow %s Yr5'!E91*'Expenses Summary'!$H47))</f>
        <v>0</v>
      </c>
      <c r="F91" s="64">
        <f>IF('Expenses Summary'!$H47="","",IF('Cash Flow %s Yr5'!F91="","",'Cash Flow %s Yr5'!F91*'Expenses Summary'!$H47))</f>
        <v>0</v>
      </c>
      <c r="G91" s="64">
        <f>IF('Expenses Summary'!$H47="","",IF('Cash Flow %s Yr5'!G91="","",'Cash Flow %s Yr5'!G91*'Expenses Summary'!$H47))</f>
        <v>0</v>
      </c>
      <c r="H91" s="64">
        <f>IF('Expenses Summary'!$H47="","",IF('Cash Flow %s Yr5'!H91="","",'Cash Flow %s Yr5'!H91*'Expenses Summary'!$H47))</f>
        <v>7373.7893325793111</v>
      </c>
      <c r="I91" s="64">
        <f>IF('Expenses Summary'!$H47="","",IF('Cash Flow %s Yr5'!I91="","",'Cash Flow %s Yr5'!I91*'Expenses Summary'!$H47))</f>
        <v>7373.7893325793111</v>
      </c>
      <c r="J91" s="64">
        <f>IF('Expenses Summary'!$H47="","",IF('Cash Flow %s Yr5'!J91="","",'Cash Flow %s Yr5'!J91*'Expenses Summary'!$H47))</f>
        <v>7373.7893325793111</v>
      </c>
      <c r="K91" s="64">
        <f>IF('Expenses Summary'!$H47="","",IF('Cash Flow %s Yr5'!K91="","",'Cash Flow %s Yr5'!K91*'Expenses Summary'!$H47))</f>
        <v>0</v>
      </c>
      <c r="L91" s="64">
        <f>IF('Expenses Summary'!$H47="","",IF('Cash Flow %s Yr5'!L91="","",'Cash Flow %s Yr5'!L91*'Expenses Summary'!$H47))</f>
        <v>7373.7893325793111</v>
      </c>
      <c r="M91" s="64">
        <f>IF('Expenses Summary'!$H47="","",IF('Cash Flow %s Yr5'!M91="","",'Cash Flow %s Yr5'!M91*'Expenses Summary'!$H47))</f>
        <v>0</v>
      </c>
      <c r="N91" s="64">
        <f>IF('Expenses Summary'!$H47="","",IF('Cash Flow %s Yr5'!N91="","",'Cash Flow %s Yr5'!N91*'Expenses Summary'!$H47))</f>
        <v>0</v>
      </c>
      <c r="O91" s="64">
        <f>IF('Expenses Summary'!$H47="","",IF('Cash Flow %s Yr5'!O91="","",'Cash Flow %s Yr5'!O91*'Expenses Summary'!$H47))</f>
        <v>0</v>
      </c>
      <c r="P91" s="129"/>
      <c r="Q91" s="129"/>
      <c r="R91" s="129"/>
      <c r="S91" s="111">
        <f>IF(SUM(D91:R91)&gt;0,SUM(D91:R91)/'Expenses Summary'!$H47,"")</f>
        <v>1</v>
      </c>
    </row>
    <row r="92" spans="1:19" x14ac:dyDescent="0.2">
      <c r="A92" s="36"/>
      <c r="B92" s="139" t="str">
        <f>'Expenses Summary'!B48</f>
        <v>4200</v>
      </c>
      <c r="C92" s="139" t="str">
        <f>'Expenses Summary'!C48</f>
        <v>Books and Other Reference Materials</v>
      </c>
      <c r="D92" s="64">
        <f>IF('Expenses Summary'!$H48="","",IF('Cash Flow %s Yr5'!D92="","",'Cash Flow %s Yr5'!D92*'Expenses Summary'!$H48))</f>
        <v>0</v>
      </c>
      <c r="E92" s="64">
        <f>IF('Expenses Summary'!$H48="","",IF('Cash Flow %s Yr5'!E92="","",'Cash Flow %s Yr5'!E92*'Expenses Summary'!$H48))</f>
        <v>0</v>
      </c>
      <c r="F92" s="64">
        <f>IF('Expenses Summary'!$H48="","",IF('Cash Flow %s Yr5'!F92="","",'Cash Flow %s Yr5'!F92*'Expenses Summary'!$H48))</f>
        <v>0</v>
      </c>
      <c r="G92" s="64">
        <f>IF('Expenses Summary'!$H48="","",IF('Cash Flow %s Yr5'!G92="","",'Cash Flow %s Yr5'!G92*'Expenses Summary'!$H48))</f>
        <v>0</v>
      </c>
      <c r="H92" s="64">
        <f>IF('Expenses Summary'!$H48="","",IF('Cash Flow %s Yr5'!H92="","",'Cash Flow %s Yr5'!H92*'Expenses Summary'!$H48))</f>
        <v>567.31997466787493</v>
      </c>
      <c r="I92" s="64">
        <f>IF('Expenses Summary'!$H48="","",IF('Cash Flow %s Yr5'!I92="","",'Cash Flow %s Yr5'!I92*'Expenses Summary'!$H48))</f>
        <v>567.31997466787493</v>
      </c>
      <c r="J92" s="64">
        <f>IF('Expenses Summary'!$H48="","",IF('Cash Flow %s Yr5'!J92="","",'Cash Flow %s Yr5'!J92*'Expenses Summary'!$H48))</f>
        <v>567.31997466787493</v>
      </c>
      <c r="K92" s="64">
        <f>IF('Expenses Summary'!$H48="","",IF('Cash Flow %s Yr5'!K92="","",'Cash Flow %s Yr5'!K92*'Expenses Summary'!$H48))</f>
        <v>0</v>
      </c>
      <c r="L92" s="64">
        <f>IF('Expenses Summary'!$H48="","",IF('Cash Flow %s Yr5'!L92="","",'Cash Flow %s Yr5'!L92*'Expenses Summary'!$H48))</f>
        <v>567.31997466787493</v>
      </c>
      <c r="M92" s="64">
        <f>IF('Expenses Summary'!$H48="","",IF('Cash Flow %s Yr5'!M92="","",'Cash Flow %s Yr5'!M92*'Expenses Summary'!$H48))</f>
        <v>0</v>
      </c>
      <c r="N92" s="64">
        <f>IF('Expenses Summary'!$H48="","",IF('Cash Flow %s Yr5'!N92="","",'Cash Flow %s Yr5'!N92*'Expenses Summary'!$H48))</f>
        <v>0</v>
      </c>
      <c r="O92" s="64">
        <f>IF('Expenses Summary'!$H48="","",IF('Cash Flow %s Yr5'!O92="","",'Cash Flow %s Yr5'!O92*'Expenses Summary'!$H48))</f>
        <v>0</v>
      </c>
      <c r="P92" s="129"/>
      <c r="Q92" s="129"/>
      <c r="R92" s="129"/>
      <c r="S92" s="111">
        <f>IF(SUM(D92:R92)&gt;0,SUM(D92:R92)/'Expenses Summary'!$H48,"")</f>
        <v>1</v>
      </c>
    </row>
    <row r="93" spans="1:19" x14ac:dyDescent="0.2">
      <c r="A93" s="36"/>
      <c r="B93" s="139" t="str">
        <f>'Expenses Summary'!B49</f>
        <v>4300</v>
      </c>
      <c r="C93" s="139" t="str">
        <f>'Expenses Summary'!C49</f>
        <v>Materials and Supplies</v>
      </c>
      <c r="D93" s="64">
        <f>IF('Expenses Summary'!$H49="","",IF('Cash Flow %s Yr5'!D93="","",'Cash Flow %s Yr5'!D93*'Expenses Summary'!$H49))</f>
        <v>0</v>
      </c>
      <c r="E93" s="64">
        <f>IF('Expenses Summary'!$H49="","",IF('Cash Flow %s Yr5'!E93="","",'Cash Flow %s Yr5'!E93*'Expenses Summary'!$H49))</f>
        <v>0</v>
      </c>
      <c r="F93" s="64">
        <f>IF('Expenses Summary'!$H49="","",IF('Cash Flow %s Yr5'!F93="","",'Cash Flow %s Yr5'!F93*'Expenses Summary'!$H49))</f>
        <v>1771.6827266874445</v>
      </c>
      <c r="G93" s="64">
        <f>IF('Expenses Summary'!$H49="","",IF('Cash Flow %s Yr5'!G93="","",'Cash Flow %s Yr5'!G93*'Expenses Summary'!$H49))</f>
        <v>0</v>
      </c>
      <c r="H93" s="64">
        <f>IF('Expenses Summary'!$H49="","",IF('Cash Flow %s Yr5'!H93="","",'Cash Flow %s Yr5'!H93*'Expenses Summary'!$H49))</f>
        <v>1771.6827266874445</v>
      </c>
      <c r="I93" s="64">
        <f>IF('Expenses Summary'!$H49="","",IF('Cash Flow %s Yr5'!I93="","",'Cash Flow %s Yr5'!I93*'Expenses Summary'!$H49))</f>
        <v>0</v>
      </c>
      <c r="J93" s="64">
        <f>IF('Expenses Summary'!$H49="","",IF('Cash Flow %s Yr5'!J93="","",'Cash Flow %s Yr5'!J93*'Expenses Summary'!$H49))</f>
        <v>1771.6827266874445</v>
      </c>
      <c r="K93" s="64">
        <f>IF('Expenses Summary'!$H49="","",IF('Cash Flow %s Yr5'!K93="","",'Cash Flow %s Yr5'!K93*'Expenses Summary'!$H49))</f>
        <v>0</v>
      </c>
      <c r="L93" s="64">
        <f>IF('Expenses Summary'!$H49="","",IF('Cash Flow %s Yr5'!L93="","",'Cash Flow %s Yr5'!L93*'Expenses Summary'!$H49))</f>
        <v>590.5609088958148</v>
      </c>
      <c r="M93" s="64">
        <f>IF('Expenses Summary'!$H49="","",IF('Cash Flow %s Yr5'!M93="","",'Cash Flow %s Yr5'!M93*'Expenses Summary'!$H49))</f>
        <v>0</v>
      </c>
      <c r="N93" s="64">
        <f>IF('Expenses Summary'!$H49="","",IF('Cash Flow %s Yr5'!N93="","",'Cash Flow %s Yr5'!N93*'Expenses Summary'!$H49))</f>
        <v>0</v>
      </c>
      <c r="O93" s="64">
        <f>IF('Expenses Summary'!$H49="","",IF('Cash Flow %s Yr5'!O93="","",'Cash Flow %s Yr5'!O93*'Expenses Summary'!$H49))</f>
        <v>0</v>
      </c>
      <c r="P93" s="129"/>
      <c r="Q93" s="129"/>
      <c r="R93" s="129"/>
      <c r="S93" s="111">
        <f>IF(SUM(D93:R93)&gt;0,SUM(D93:R93)/'Expenses Summary'!$H49,"")</f>
        <v>1</v>
      </c>
    </row>
    <row r="94" spans="1:19" x14ac:dyDescent="0.2">
      <c r="A94" s="36"/>
      <c r="B94" s="139" t="str">
        <f>'Expenses Summary'!B50</f>
        <v>4315</v>
      </c>
      <c r="C94" s="139" t="str">
        <f>'Expenses Summary'!C50</f>
        <v>Classroom Materials and Supplies</v>
      </c>
      <c r="D94" s="64">
        <f>IF('Expenses Summary'!$H50="","",IF('Cash Flow %s Yr5'!D94="","",'Cash Flow %s Yr5'!D94*'Expenses Summary'!$H50))</f>
        <v>0</v>
      </c>
      <c r="E94" s="64">
        <f>IF('Expenses Summary'!$H50="","",IF('Cash Flow %s Yr5'!E94="","",'Cash Flow %s Yr5'!E94*'Expenses Summary'!$H50))</f>
        <v>0</v>
      </c>
      <c r="F94" s="64">
        <f>IF('Expenses Summary'!$H50="","",IF('Cash Flow %s Yr5'!F94="","",'Cash Flow %s Yr5'!F94*'Expenses Summary'!$H50))</f>
        <v>385.01019343643992</v>
      </c>
      <c r="G94" s="64">
        <f>IF('Expenses Summary'!$H50="","",IF('Cash Flow %s Yr5'!G94="","",'Cash Flow %s Yr5'!G94*'Expenses Summary'!$H50))</f>
        <v>385.01019343643992</v>
      </c>
      <c r="H94" s="64">
        <f>IF('Expenses Summary'!$H50="","",IF('Cash Flow %s Yr5'!H94="","",'Cash Flow %s Yr5'!H94*'Expenses Summary'!$H50))</f>
        <v>770.02038687287984</v>
      </c>
      <c r="I94" s="64">
        <f>IF('Expenses Summary'!$H50="","",IF('Cash Flow %s Yr5'!I94="","",'Cash Flow %s Yr5'!I94*'Expenses Summary'!$H50))</f>
        <v>385.01019343643992</v>
      </c>
      <c r="J94" s="64">
        <f>IF('Expenses Summary'!$H50="","",IF('Cash Flow %s Yr5'!J94="","",'Cash Flow %s Yr5'!J94*'Expenses Summary'!$H50))</f>
        <v>770.02038687287984</v>
      </c>
      <c r="K94" s="64">
        <f>IF('Expenses Summary'!$H50="","",IF('Cash Flow %s Yr5'!K94="","",'Cash Flow %s Yr5'!K94*'Expenses Summary'!$H50))</f>
        <v>385.01019343643992</v>
      </c>
      <c r="L94" s="64">
        <f>IF('Expenses Summary'!$H50="","",IF('Cash Flow %s Yr5'!L94="","",'Cash Flow %s Yr5'!L94*'Expenses Summary'!$H50))</f>
        <v>385.01019343643992</v>
      </c>
      <c r="M94" s="64">
        <f>IF('Expenses Summary'!$H50="","",IF('Cash Flow %s Yr5'!M94="","",'Cash Flow %s Yr5'!M94*'Expenses Summary'!$H50))</f>
        <v>385.01019343643992</v>
      </c>
      <c r="N94" s="64">
        <f>IF('Expenses Summary'!$H50="","",IF('Cash Flow %s Yr5'!N94="","",'Cash Flow %s Yr5'!N94*'Expenses Summary'!$H50))</f>
        <v>0</v>
      </c>
      <c r="O94" s="64">
        <f>IF('Expenses Summary'!$H50="","",IF('Cash Flow %s Yr5'!O94="","",'Cash Flow %s Yr5'!O94*'Expenses Summary'!$H50))</f>
        <v>0</v>
      </c>
      <c r="P94" s="129"/>
      <c r="Q94" s="129"/>
      <c r="R94" s="129"/>
      <c r="S94" s="111">
        <f>IF(SUM(D94:R94)&gt;0,SUM(D94:R94)/'Expenses Summary'!$H50,"")</f>
        <v>1</v>
      </c>
    </row>
    <row r="95" spans="1:19" x14ac:dyDescent="0.2">
      <c r="A95" s="36"/>
      <c r="B95" s="139" t="str">
        <f>'Expenses Summary'!B51</f>
        <v>4400</v>
      </c>
      <c r="C95" s="139" t="str">
        <f>'Expenses Summary'!C51</f>
        <v>Noncapitalized Equipment</v>
      </c>
      <c r="D95" s="64">
        <f>IF('Expenses Summary'!$H51="","",IF('Cash Flow %s Yr5'!D95="","",'Cash Flow %s Yr5'!D95*'Expenses Summary'!$H51))</f>
        <v>893.81581574999996</v>
      </c>
      <c r="E95" s="64">
        <f>IF('Expenses Summary'!$H51="","",IF('Cash Flow %s Yr5'!E95="","",'Cash Flow %s Yr5'!E95*'Expenses Summary'!$H51))</f>
        <v>893.81581574999996</v>
      </c>
      <c r="F95" s="64">
        <f>IF('Expenses Summary'!$H51="","",IF('Cash Flow %s Yr5'!F95="","",'Cash Flow %s Yr5'!F95*'Expenses Summary'!$H51))</f>
        <v>893.81581574999996</v>
      </c>
      <c r="G95" s="64">
        <f>IF('Expenses Summary'!$H51="","",IF('Cash Flow %s Yr5'!G95="","",'Cash Flow %s Yr5'!G95*'Expenses Summary'!$H51))</f>
        <v>893.81581574999996</v>
      </c>
      <c r="H95" s="64">
        <f>IF('Expenses Summary'!$H51="","",IF('Cash Flow %s Yr5'!H95="","",'Cash Flow %s Yr5'!H95*'Expenses Summary'!$H51))</f>
        <v>893.81581574999996</v>
      </c>
      <c r="I95" s="64">
        <f>IF('Expenses Summary'!$H51="","",IF('Cash Flow %s Yr5'!I95="","",'Cash Flow %s Yr5'!I95*'Expenses Summary'!$H51))</f>
        <v>893.81581574999996</v>
      </c>
      <c r="J95" s="64">
        <f>IF('Expenses Summary'!$H51="","",IF('Cash Flow %s Yr5'!J95="","",'Cash Flow %s Yr5'!J95*'Expenses Summary'!$H51))</f>
        <v>893.81581574999996</v>
      </c>
      <c r="K95" s="64">
        <f>IF('Expenses Summary'!$H51="","",IF('Cash Flow %s Yr5'!K95="","",'Cash Flow %s Yr5'!K95*'Expenses Summary'!$H51))</f>
        <v>893.81581574999996</v>
      </c>
      <c r="L95" s="64">
        <f>IF('Expenses Summary'!$H51="","",IF('Cash Flow %s Yr5'!L95="","",'Cash Flow %s Yr5'!L95*'Expenses Summary'!$H51))</f>
        <v>904.58468099999993</v>
      </c>
      <c r="M95" s="64">
        <f>IF('Expenses Summary'!$H51="","",IF('Cash Flow %s Yr5'!M95="","",'Cash Flow %s Yr5'!M95*'Expenses Summary'!$H51))</f>
        <v>904.58468099999993</v>
      </c>
      <c r="N95" s="64">
        <f>IF('Expenses Summary'!$H51="","",IF('Cash Flow %s Yr5'!N95="","",'Cash Flow %s Yr5'!N95*'Expenses Summary'!$H51))</f>
        <v>904.58468099999993</v>
      </c>
      <c r="O95" s="64">
        <f>IF('Expenses Summary'!$H51="","",IF('Cash Flow %s Yr5'!O95="","",'Cash Flow %s Yr5'!O95*'Expenses Summary'!$H51))</f>
        <v>904.58468099999993</v>
      </c>
      <c r="P95" s="129"/>
      <c r="Q95" s="129"/>
      <c r="R95" s="129"/>
      <c r="S95" s="111">
        <f>IF(SUM(D95:R95)&gt;0,SUM(D95:R95)/'Expenses Summary'!$H51,"")</f>
        <v>1.0000000000000002</v>
      </c>
    </row>
    <row r="96" spans="1:19" x14ac:dyDescent="0.2">
      <c r="A96" s="36"/>
      <c r="B96" s="139" t="str">
        <f>'Expenses Summary'!B52</f>
        <v>4430</v>
      </c>
      <c r="C96" s="139" t="str">
        <f>'Expenses Summary'!C52</f>
        <v>General Student Equipment</v>
      </c>
      <c r="D96" s="64">
        <f>IF('Expenses Summary'!$H52="","",IF('Cash Flow %s Yr5'!D96="","",'Cash Flow %s Yr5'!D96*'Expenses Summary'!$H52))</f>
        <v>0</v>
      </c>
      <c r="E96" s="64">
        <f>IF('Expenses Summary'!$H52="","",IF('Cash Flow %s Yr5'!E96="","",'Cash Flow %s Yr5'!E96*'Expenses Summary'!$H52))</f>
        <v>0</v>
      </c>
      <c r="F96" s="64">
        <f>IF('Expenses Summary'!$H52="","",IF('Cash Flow %s Yr5'!F96="","",'Cash Flow %s Yr5'!F96*'Expenses Summary'!$H52))</f>
        <v>2638.2845430641687</v>
      </c>
      <c r="G96" s="64">
        <f>IF('Expenses Summary'!$H52="","",IF('Cash Flow %s Yr5'!G96="","",'Cash Flow %s Yr5'!G96*'Expenses Summary'!$H52))</f>
        <v>0</v>
      </c>
      <c r="H96" s="64">
        <f>IF('Expenses Summary'!$H52="","",IF('Cash Flow %s Yr5'!H96="","",'Cash Flow %s Yr5'!H96*'Expenses Summary'!$H52))</f>
        <v>0</v>
      </c>
      <c r="I96" s="64">
        <f>IF('Expenses Summary'!$H52="","",IF('Cash Flow %s Yr5'!I96="","",'Cash Flow %s Yr5'!I96*'Expenses Summary'!$H52))</f>
        <v>0</v>
      </c>
      <c r="J96" s="64">
        <f>IF('Expenses Summary'!$H52="","",IF('Cash Flow %s Yr5'!J96="","",'Cash Flow %s Yr5'!J96*'Expenses Summary'!$H52))</f>
        <v>1758.8563620427792</v>
      </c>
      <c r="K96" s="64">
        <f>IF('Expenses Summary'!$H52="","",IF('Cash Flow %s Yr5'!K96="","",'Cash Flow %s Yr5'!K96*'Expenses Summary'!$H52))</f>
        <v>0</v>
      </c>
      <c r="L96" s="64">
        <f>IF('Expenses Summary'!$H52="","",IF('Cash Flow %s Yr5'!L96="","",'Cash Flow %s Yr5'!L96*'Expenses Summary'!$H52))</f>
        <v>0</v>
      </c>
      <c r="M96" s="64">
        <f>IF('Expenses Summary'!$H52="","",IF('Cash Flow %s Yr5'!M96="","",'Cash Flow %s Yr5'!M96*'Expenses Summary'!$H52))</f>
        <v>0</v>
      </c>
      <c r="N96" s="64">
        <f>IF('Expenses Summary'!$H52="","",IF('Cash Flow %s Yr5'!N96="","",'Cash Flow %s Yr5'!N96*'Expenses Summary'!$H52))</f>
        <v>0</v>
      </c>
      <c r="O96" s="64">
        <f>IF('Expenses Summary'!$H52="","",IF('Cash Flow %s Yr5'!O96="","",'Cash Flow %s Yr5'!O96*'Expenses Summary'!$H52))</f>
        <v>0</v>
      </c>
      <c r="P96" s="129"/>
      <c r="Q96" s="129"/>
      <c r="R96" s="129"/>
      <c r="S96" s="111">
        <f>IF(SUM(D96:R96)&gt;0,SUM(D96:R96)/'Expenses Summary'!$H52,"")</f>
        <v>1</v>
      </c>
    </row>
    <row r="97" spans="1:19" hidden="1" outlineLevel="1" x14ac:dyDescent="0.2">
      <c r="A97" s="36"/>
      <c r="B97" s="139">
        <f>'Expenses Summary'!B53</f>
        <v>0</v>
      </c>
      <c r="C97" s="139">
        <f>'Expenses Summary'!C53</f>
        <v>0</v>
      </c>
      <c r="D97" s="64" t="str">
        <f>IF('Expenses Summary'!$H53="","",IF('Cash Flow %s Yr5'!D97="","",'Cash Flow %s Yr5'!D97*'Expenses Summary'!$H53))</f>
        <v/>
      </c>
      <c r="E97" s="64" t="str">
        <f>IF('Expenses Summary'!$H53="","",IF('Cash Flow %s Yr5'!E97="","",'Cash Flow %s Yr5'!E97*'Expenses Summary'!$H53))</f>
        <v/>
      </c>
      <c r="F97" s="64" t="str">
        <f>IF('Expenses Summary'!$H53="","",IF('Cash Flow %s Yr5'!F97="","",'Cash Flow %s Yr5'!F97*'Expenses Summary'!$H53))</f>
        <v/>
      </c>
      <c r="G97" s="64" t="str">
        <f>IF('Expenses Summary'!$H53="","",IF('Cash Flow %s Yr5'!G97="","",'Cash Flow %s Yr5'!G97*'Expenses Summary'!$H53))</f>
        <v/>
      </c>
      <c r="H97" s="64" t="str">
        <f>IF('Expenses Summary'!$H53="","",IF('Cash Flow %s Yr5'!H97="","",'Cash Flow %s Yr5'!H97*'Expenses Summary'!$H53))</f>
        <v/>
      </c>
      <c r="I97" s="64" t="str">
        <f>IF('Expenses Summary'!$H53="","",IF('Cash Flow %s Yr5'!I97="","",'Cash Flow %s Yr5'!I97*'Expenses Summary'!$H53))</f>
        <v/>
      </c>
      <c r="J97" s="64" t="str">
        <f>IF('Expenses Summary'!$H53="","",IF('Cash Flow %s Yr5'!J97="","",'Cash Flow %s Yr5'!J97*'Expenses Summary'!$H53))</f>
        <v/>
      </c>
      <c r="K97" s="64" t="str">
        <f>IF('Expenses Summary'!$H53="","",IF('Cash Flow %s Yr5'!K97="","",'Cash Flow %s Yr5'!K97*'Expenses Summary'!$H53))</f>
        <v/>
      </c>
      <c r="L97" s="64" t="str">
        <f>IF('Expenses Summary'!$H53="","",IF('Cash Flow %s Yr5'!L97="","",'Cash Flow %s Yr5'!L97*'Expenses Summary'!$H53))</f>
        <v/>
      </c>
      <c r="M97" s="64" t="str">
        <f>IF('Expenses Summary'!$H53="","",IF('Cash Flow %s Yr5'!M97="","",'Cash Flow %s Yr5'!M97*'Expenses Summary'!$H53))</f>
        <v/>
      </c>
      <c r="N97" s="64" t="str">
        <f>IF('Expenses Summary'!$H53="","",IF('Cash Flow %s Yr5'!N97="","",'Cash Flow %s Yr5'!N97*'Expenses Summary'!$H53))</f>
        <v/>
      </c>
      <c r="O97" s="64" t="str">
        <f>IF('Expenses Summary'!$H53="","",IF('Cash Flow %s Yr5'!O97="","",'Cash Flow %s Yr5'!O97*'Expenses Summary'!$H53))</f>
        <v/>
      </c>
      <c r="P97" s="129"/>
      <c r="Q97" s="129"/>
      <c r="R97" s="129"/>
      <c r="S97" s="111"/>
    </row>
    <row r="98" spans="1:19" hidden="1" outlineLevel="1" x14ac:dyDescent="0.2">
      <c r="A98" s="36"/>
      <c r="B98" s="139">
        <f>'Expenses Summary'!B54</f>
        <v>0</v>
      </c>
      <c r="C98" s="139">
        <f>'Expenses Summary'!C54</f>
        <v>0</v>
      </c>
      <c r="D98" s="64" t="str">
        <f>IF('Expenses Summary'!$H54="","",IF('Cash Flow %s Yr5'!D98="","",'Cash Flow %s Yr5'!D98*'Expenses Summary'!$H54))</f>
        <v/>
      </c>
      <c r="E98" s="64" t="str">
        <f>IF('Expenses Summary'!$H54="","",IF('Cash Flow %s Yr5'!E98="","",'Cash Flow %s Yr5'!E98*'Expenses Summary'!$H54))</f>
        <v/>
      </c>
      <c r="F98" s="64" t="str">
        <f>IF('Expenses Summary'!$H54="","",IF('Cash Flow %s Yr5'!F98="","",'Cash Flow %s Yr5'!F98*'Expenses Summary'!$H54))</f>
        <v/>
      </c>
      <c r="G98" s="64" t="str">
        <f>IF('Expenses Summary'!$H54="","",IF('Cash Flow %s Yr5'!G98="","",'Cash Flow %s Yr5'!G98*'Expenses Summary'!$H54))</f>
        <v/>
      </c>
      <c r="H98" s="64" t="str">
        <f>IF('Expenses Summary'!$H54="","",IF('Cash Flow %s Yr5'!H98="","",'Cash Flow %s Yr5'!H98*'Expenses Summary'!$H54))</f>
        <v/>
      </c>
      <c r="I98" s="64" t="str">
        <f>IF('Expenses Summary'!$H54="","",IF('Cash Flow %s Yr5'!I98="","",'Cash Flow %s Yr5'!I98*'Expenses Summary'!$H54))</f>
        <v/>
      </c>
      <c r="J98" s="64" t="str">
        <f>IF('Expenses Summary'!$H54="","",IF('Cash Flow %s Yr5'!J98="","",'Cash Flow %s Yr5'!J98*'Expenses Summary'!$H54))</f>
        <v/>
      </c>
      <c r="K98" s="64" t="str">
        <f>IF('Expenses Summary'!$H54="","",IF('Cash Flow %s Yr5'!K98="","",'Cash Flow %s Yr5'!K98*'Expenses Summary'!$H54))</f>
        <v/>
      </c>
      <c r="L98" s="64" t="str">
        <f>IF('Expenses Summary'!$H54="","",IF('Cash Flow %s Yr5'!L98="","",'Cash Flow %s Yr5'!L98*'Expenses Summary'!$H54))</f>
        <v/>
      </c>
      <c r="M98" s="64" t="str">
        <f>IF('Expenses Summary'!$H54="","",IF('Cash Flow %s Yr5'!M98="","",'Cash Flow %s Yr5'!M98*'Expenses Summary'!$H54))</f>
        <v/>
      </c>
      <c r="N98" s="64" t="str">
        <f>IF('Expenses Summary'!$H54="","",IF('Cash Flow %s Yr5'!N98="","",'Cash Flow %s Yr5'!N98*'Expenses Summary'!$H54))</f>
        <v/>
      </c>
      <c r="O98" s="64" t="str">
        <f>IF('Expenses Summary'!$H54="","",IF('Cash Flow %s Yr5'!O98="","",'Cash Flow %s Yr5'!O98*'Expenses Summary'!$H54))</f>
        <v/>
      </c>
      <c r="P98" s="129"/>
      <c r="Q98" s="129"/>
      <c r="R98" s="129"/>
      <c r="S98" s="111"/>
    </row>
    <row r="99" spans="1:19" hidden="1" outlineLevel="1" x14ac:dyDescent="0.2">
      <c r="A99" s="36"/>
      <c r="B99" s="139">
        <f>'Expenses Summary'!B55</f>
        <v>0</v>
      </c>
      <c r="C99" s="139">
        <f>'Expenses Summary'!C55</f>
        <v>0</v>
      </c>
      <c r="D99" s="64" t="str">
        <f>IF('Expenses Summary'!$H55="","",IF('Cash Flow %s Yr5'!D99="","",'Cash Flow %s Yr5'!D99*'Expenses Summary'!$H55))</f>
        <v/>
      </c>
      <c r="E99" s="64" t="str">
        <f>IF('Expenses Summary'!$H55="","",IF('Cash Flow %s Yr5'!E99="","",'Cash Flow %s Yr5'!E99*'Expenses Summary'!$H55))</f>
        <v/>
      </c>
      <c r="F99" s="64" t="str">
        <f>IF('Expenses Summary'!$H55="","",IF('Cash Flow %s Yr5'!F99="","",'Cash Flow %s Yr5'!F99*'Expenses Summary'!$H55))</f>
        <v/>
      </c>
      <c r="G99" s="64" t="str">
        <f>IF('Expenses Summary'!$H55="","",IF('Cash Flow %s Yr5'!G99="","",'Cash Flow %s Yr5'!G99*'Expenses Summary'!$H55))</f>
        <v/>
      </c>
      <c r="H99" s="64" t="str">
        <f>IF('Expenses Summary'!$H55="","",IF('Cash Flow %s Yr5'!H99="","",'Cash Flow %s Yr5'!H99*'Expenses Summary'!$H55))</f>
        <v/>
      </c>
      <c r="I99" s="64" t="str">
        <f>IF('Expenses Summary'!$H55="","",IF('Cash Flow %s Yr5'!I99="","",'Cash Flow %s Yr5'!I99*'Expenses Summary'!$H55))</f>
        <v/>
      </c>
      <c r="J99" s="64" t="str">
        <f>IF('Expenses Summary'!$H55="","",IF('Cash Flow %s Yr5'!J99="","",'Cash Flow %s Yr5'!J99*'Expenses Summary'!$H55))</f>
        <v/>
      </c>
      <c r="K99" s="64" t="str">
        <f>IF('Expenses Summary'!$H55="","",IF('Cash Flow %s Yr5'!K99="","",'Cash Flow %s Yr5'!K99*'Expenses Summary'!$H55))</f>
        <v/>
      </c>
      <c r="L99" s="64" t="str">
        <f>IF('Expenses Summary'!$H55="","",IF('Cash Flow %s Yr5'!L99="","",'Cash Flow %s Yr5'!L99*'Expenses Summary'!$H55))</f>
        <v/>
      </c>
      <c r="M99" s="64" t="str">
        <f>IF('Expenses Summary'!$H55="","",IF('Cash Flow %s Yr5'!M99="","",'Cash Flow %s Yr5'!M99*'Expenses Summary'!$H55))</f>
        <v/>
      </c>
      <c r="N99" s="64" t="str">
        <f>IF('Expenses Summary'!$H55="","",IF('Cash Flow %s Yr5'!N99="","",'Cash Flow %s Yr5'!N99*'Expenses Summary'!$H55))</f>
        <v/>
      </c>
      <c r="O99" s="64" t="str">
        <f>IF('Expenses Summary'!$H55="","",IF('Cash Flow %s Yr5'!O99="","",'Cash Flow %s Yr5'!O99*'Expenses Summary'!$H55))</f>
        <v/>
      </c>
      <c r="P99" s="129"/>
      <c r="Q99" s="129"/>
      <c r="R99" s="129"/>
      <c r="S99" s="111"/>
    </row>
    <row r="100" spans="1:19" hidden="1" outlineLevel="1" x14ac:dyDescent="0.2">
      <c r="A100" s="36"/>
      <c r="B100" s="139">
        <f>'Expenses Summary'!B56</f>
        <v>0</v>
      </c>
      <c r="C100" s="139">
        <f>'Expenses Summary'!C56</f>
        <v>0</v>
      </c>
      <c r="D100" s="64" t="str">
        <f>IF('Expenses Summary'!$H56="","",IF('Cash Flow %s Yr5'!D100="","",'Cash Flow %s Yr5'!D100*'Expenses Summary'!$H56))</f>
        <v/>
      </c>
      <c r="E100" s="64" t="str">
        <f>IF('Expenses Summary'!$H56="","",IF('Cash Flow %s Yr5'!E100="","",'Cash Flow %s Yr5'!E100*'Expenses Summary'!$H56))</f>
        <v/>
      </c>
      <c r="F100" s="64" t="str">
        <f>IF('Expenses Summary'!$H56="","",IF('Cash Flow %s Yr5'!F100="","",'Cash Flow %s Yr5'!F100*'Expenses Summary'!$H56))</f>
        <v/>
      </c>
      <c r="G100" s="64" t="str">
        <f>IF('Expenses Summary'!$H56="","",IF('Cash Flow %s Yr5'!G100="","",'Cash Flow %s Yr5'!G100*'Expenses Summary'!$H56))</f>
        <v/>
      </c>
      <c r="H100" s="64" t="str">
        <f>IF('Expenses Summary'!$H56="","",IF('Cash Flow %s Yr5'!H100="","",'Cash Flow %s Yr5'!H100*'Expenses Summary'!$H56))</f>
        <v/>
      </c>
      <c r="I100" s="64" t="str">
        <f>IF('Expenses Summary'!$H56="","",IF('Cash Flow %s Yr5'!I100="","",'Cash Flow %s Yr5'!I100*'Expenses Summary'!$H56))</f>
        <v/>
      </c>
      <c r="J100" s="64" t="str">
        <f>IF('Expenses Summary'!$H56="","",IF('Cash Flow %s Yr5'!J100="","",'Cash Flow %s Yr5'!J100*'Expenses Summary'!$H56))</f>
        <v/>
      </c>
      <c r="K100" s="64" t="str">
        <f>IF('Expenses Summary'!$H56="","",IF('Cash Flow %s Yr5'!K100="","",'Cash Flow %s Yr5'!K100*'Expenses Summary'!$H56))</f>
        <v/>
      </c>
      <c r="L100" s="64" t="str">
        <f>IF('Expenses Summary'!$H56="","",IF('Cash Flow %s Yr5'!L100="","",'Cash Flow %s Yr5'!L100*'Expenses Summary'!$H56))</f>
        <v/>
      </c>
      <c r="M100" s="64" t="str">
        <f>IF('Expenses Summary'!$H56="","",IF('Cash Flow %s Yr5'!M100="","",'Cash Flow %s Yr5'!M100*'Expenses Summary'!$H56))</f>
        <v/>
      </c>
      <c r="N100" s="64" t="str">
        <f>IF('Expenses Summary'!$H56="","",IF('Cash Flow %s Yr5'!N100="","",'Cash Flow %s Yr5'!N100*'Expenses Summary'!$H56))</f>
        <v/>
      </c>
      <c r="O100" s="64" t="str">
        <f>IF('Expenses Summary'!$H56="","",IF('Cash Flow %s Yr5'!O100="","",'Cash Flow %s Yr5'!O100*'Expenses Summary'!$H56))</f>
        <v/>
      </c>
      <c r="P100" s="129"/>
      <c r="Q100" s="129"/>
      <c r="R100" s="129"/>
      <c r="S100" s="111"/>
    </row>
    <row r="101" spans="1:19" hidden="1" outlineLevel="1" x14ac:dyDescent="0.2">
      <c r="A101" s="36"/>
      <c r="B101" s="139">
        <f>'Expenses Summary'!B57</f>
        <v>0</v>
      </c>
      <c r="C101" s="139">
        <f>'Expenses Summary'!C57</f>
        <v>0</v>
      </c>
      <c r="D101" s="64" t="str">
        <f>IF('Expenses Summary'!$H57="","",IF('Cash Flow %s Yr5'!D101="","",'Cash Flow %s Yr5'!D101*'Expenses Summary'!$H57))</f>
        <v/>
      </c>
      <c r="E101" s="64" t="str">
        <f>IF('Expenses Summary'!$H57="","",IF('Cash Flow %s Yr5'!E101="","",'Cash Flow %s Yr5'!E101*'Expenses Summary'!$H57))</f>
        <v/>
      </c>
      <c r="F101" s="64" t="str">
        <f>IF('Expenses Summary'!$H57="","",IF('Cash Flow %s Yr5'!F101="","",'Cash Flow %s Yr5'!F101*'Expenses Summary'!$H57))</f>
        <v/>
      </c>
      <c r="G101" s="64" t="str">
        <f>IF('Expenses Summary'!$H57="","",IF('Cash Flow %s Yr5'!G101="","",'Cash Flow %s Yr5'!G101*'Expenses Summary'!$H57))</f>
        <v/>
      </c>
      <c r="H101" s="64" t="str">
        <f>IF('Expenses Summary'!$H57="","",IF('Cash Flow %s Yr5'!H101="","",'Cash Flow %s Yr5'!H101*'Expenses Summary'!$H57))</f>
        <v/>
      </c>
      <c r="I101" s="64" t="str">
        <f>IF('Expenses Summary'!$H57="","",IF('Cash Flow %s Yr5'!I101="","",'Cash Flow %s Yr5'!I101*'Expenses Summary'!$H57))</f>
        <v/>
      </c>
      <c r="J101" s="64" t="str">
        <f>IF('Expenses Summary'!$H57="","",IF('Cash Flow %s Yr5'!J101="","",'Cash Flow %s Yr5'!J101*'Expenses Summary'!$H57))</f>
        <v/>
      </c>
      <c r="K101" s="64" t="str">
        <f>IF('Expenses Summary'!$H57="","",IF('Cash Flow %s Yr5'!K101="","",'Cash Flow %s Yr5'!K101*'Expenses Summary'!$H57))</f>
        <v/>
      </c>
      <c r="L101" s="64" t="str">
        <f>IF('Expenses Summary'!$H57="","",IF('Cash Flow %s Yr5'!L101="","",'Cash Flow %s Yr5'!L101*'Expenses Summary'!$H57))</f>
        <v/>
      </c>
      <c r="M101" s="64" t="str">
        <f>IF('Expenses Summary'!$H57="","",IF('Cash Flow %s Yr5'!M101="","",'Cash Flow %s Yr5'!M101*'Expenses Summary'!$H57))</f>
        <v/>
      </c>
      <c r="N101" s="64" t="str">
        <f>IF('Expenses Summary'!$H57="","",IF('Cash Flow %s Yr5'!N101="","",'Cash Flow %s Yr5'!N101*'Expenses Summary'!$H57))</f>
        <v/>
      </c>
      <c r="O101" s="64" t="str">
        <f>IF('Expenses Summary'!$H57="","",IF('Cash Flow %s Yr5'!O101="","",'Cash Flow %s Yr5'!O101*'Expenses Summary'!$H57))</f>
        <v/>
      </c>
      <c r="P101" s="129"/>
      <c r="Q101" s="129"/>
      <c r="R101" s="129"/>
      <c r="S101" s="111"/>
    </row>
    <row r="102" spans="1:19" hidden="1" outlineLevel="1" x14ac:dyDescent="0.2">
      <c r="A102" s="36"/>
      <c r="B102" s="139">
        <f>'Expenses Summary'!B58</f>
        <v>0</v>
      </c>
      <c r="C102" s="139">
        <f>'Expenses Summary'!C58</f>
        <v>0</v>
      </c>
      <c r="D102" s="64" t="str">
        <f>IF('Expenses Summary'!$H58="","",IF('Cash Flow %s Yr5'!D102="","",'Cash Flow %s Yr5'!D102*'Expenses Summary'!$H58))</f>
        <v/>
      </c>
      <c r="E102" s="64" t="str">
        <f>IF('Expenses Summary'!$H58="","",IF('Cash Flow %s Yr5'!E102="","",'Cash Flow %s Yr5'!E102*'Expenses Summary'!$H58))</f>
        <v/>
      </c>
      <c r="F102" s="64" t="str">
        <f>IF('Expenses Summary'!$H58="","",IF('Cash Flow %s Yr5'!F102="","",'Cash Flow %s Yr5'!F102*'Expenses Summary'!$H58))</f>
        <v/>
      </c>
      <c r="G102" s="64" t="str">
        <f>IF('Expenses Summary'!$H58="","",IF('Cash Flow %s Yr5'!G102="","",'Cash Flow %s Yr5'!G102*'Expenses Summary'!$H58))</f>
        <v/>
      </c>
      <c r="H102" s="64" t="str">
        <f>IF('Expenses Summary'!$H58="","",IF('Cash Flow %s Yr5'!H102="","",'Cash Flow %s Yr5'!H102*'Expenses Summary'!$H58))</f>
        <v/>
      </c>
      <c r="I102" s="64" t="str">
        <f>IF('Expenses Summary'!$H58="","",IF('Cash Flow %s Yr5'!I102="","",'Cash Flow %s Yr5'!I102*'Expenses Summary'!$H58))</f>
        <v/>
      </c>
      <c r="J102" s="64" t="str">
        <f>IF('Expenses Summary'!$H58="","",IF('Cash Flow %s Yr5'!J102="","",'Cash Flow %s Yr5'!J102*'Expenses Summary'!$H58))</f>
        <v/>
      </c>
      <c r="K102" s="64" t="str">
        <f>IF('Expenses Summary'!$H58="","",IF('Cash Flow %s Yr5'!K102="","",'Cash Flow %s Yr5'!K102*'Expenses Summary'!$H58))</f>
        <v/>
      </c>
      <c r="L102" s="64" t="str">
        <f>IF('Expenses Summary'!$H58="","",IF('Cash Flow %s Yr5'!L102="","",'Cash Flow %s Yr5'!L102*'Expenses Summary'!$H58))</f>
        <v/>
      </c>
      <c r="M102" s="64" t="str">
        <f>IF('Expenses Summary'!$H58="","",IF('Cash Flow %s Yr5'!M102="","",'Cash Flow %s Yr5'!M102*'Expenses Summary'!$H58))</f>
        <v/>
      </c>
      <c r="N102" s="64" t="str">
        <f>IF('Expenses Summary'!$H58="","",IF('Cash Flow %s Yr5'!N102="","",'Cash Flow %s Yr5'!N102*'Expenses Summary'!$H58))</f>
        <v/>
      </c>
      <c r="O102" s="64" t="str">
        <f>IF('Expenses Summary'!$H58="","",IF('Cash Flow %s Yr5'!O102="","",'Cash Flow %s Yr5'!O102*'Expenses Summary'!$H58))</f>
        <v/>
      </c>
      <c r="P102" s="129"/>
      <c r="Q102" s="129"/>
      <c r="R102" s="129"/>
      <c r="S102" s="111"/>
    </row>
    <row r="103" spans="1:19" hidden="1" outlineLevel="1" x14ac:dyDescent="0.2">
      <c r="A103" s="36"/>
      <c r="B103" s="139">
        <f>'Expenses Summary'!B59</f>
        <v>0</v>
      </c>
      <c r="C103" s="139">
        <f>'Expenses Summary'!C59</f>
        <v>0</v>
      </c>
      <c r="D103" s="64" t="str">
        <f>IF('Expenses Summary'!$H59="","",IF('Cash Flow %s Yr5'!D103="","",'Cash Flow %s Yr5'!D103*'Expenses Summary'!$H59))</f>
        <v/>
      </c>
      <c r="E103" s="64" t="str">
        <f>IF('Expenses Summary'!$H59="","",IF('Cash Flow %s Yr5'!E103="","",'Cash Flow %s Yr5'!E103*'Expenses Summary'!$H59))</f>
        <v/>
      </c>
      <c r="F103" s="64" t="str">
        <f>IF('Expenses Summary'!$H59="","",IF('Cash Flow %s Yr5'!F103="","",'Cash Flow %s Yr5'!F103*'Expenses Summary'!$H59))</f>
        <v/>
      </c>
      <c r="G103" s="64" t="str">
        <f>IF('Expenses Summary'!$H59="","",IF('Cash Flow %s Yr5'!G103="","",'Cash Flow %s Yr5'!G103*'Expenses Summary'!$H59))</f>
        <v/>
      </c>
      <c r="H103" s="64" t="str">
        <f>IF('Expenses Summary'!$H59="","",IF('Cash Flow %s Yr5'!H103="","",'Cash Flow %s Yr5'!H103*'Expenses Summary'!$H59))</f>
        <v/>
      </c>
      <c r="I103" s="64" t="str">
        <f>IF('Expenses Summary'!$H59="","",IF('Cash Flow %s Yr5'!I103="","",'Cash Flow %s Yr5'!I103*'Expenses Summary'!$H59))</f>
        <v/>
      </c>
      <c r="J103" s="64" t="str">
        <f>IF('Expenses Summary'!$H59="","",IF('Cash Flow %s Yr5'!J103="","",'Cash Flow %s Yr5'!J103*'Expenses Summary'!$H59))</f>
        <v/>
      </c>
      <c r="K103" s="64" t="str">
        <f>IF('Expenses Summary'!$H59="","",IF('Cash Flow %s Yr5'!K103="","",'Cash Flow %s Yr5'!K103*'Expenses Summary'!$H59))</f>
        <v/>
      </c>
      <c r="L103" s="64" t="str">
        <f>IF('Expenses Summary'!$H59="","",IF('Cash Flow %s Yr5'!L103="","",'Cash Flow %s Yr5'!L103*'Expenses Summary'!$H59))</f>
        <v/>
      </c>
      <c r="M103" s="64" t="str">
        <f>IF('Expenses Summary'!$H59="","",IF('Cash Flow %s Yr5'!M103="","",'Cash Flow %s Yr5'!M103*'Expenses Summary'!$H59))</f>
        <v/>
      </c>
      <c r="N103" s="64" t="str">
        <f>IF('Expenses Summary'!$H59="","",IF('Cash Flow %s Yr5'!N103="","",'Cash Flow %s Yr5'!N103*'Expenses Summary'!$H59))</f>
        <v/>
      </c>
      <c r="O103" s="64" t="str">
        <f>IF('Expenses Summary'!$H59="","",IF('Cash Flow %s Yr5'!O103="","",'Cash Flow %s Yr5'!O103*'Expenses Summary'!$H59))</f>
        <v/>
      </c>
      <c r="P103" s="129"/>
      <c r="Q103" s="129"/>
      <c r="R103" s="129"/>
      <c r="S103" s="111"/>
    </row>
    <row r="104" spans="1:19" hidden="1" outlineLevel="1" x14ac:dyDescent="0.2">
      <c r="A104" s="36"/>
      <c r="B104" s="139">
        <f>'Expenses Summary'!B60</f>
        <v>0</v>
      </c>
      <c r="C104" s="139">
        <f>'Expenses Summary'!C60</f>
        <v>0</v>
      </c>
      <c r="D104" s="64" t="str">
        <f>IF('Expenses Summary'!$H60="","",IF('Cash Flow %s Yr5'!D104="","",'Cash Flow %s Yr5'!D104*'Expenses Summary'!$H60))</f>
        <v/>
      </c>
      <c r="E104" s="64" t="str">
        <f>IF('Expenses Summary'!$H60="","",IF('Cash Flow %s Yr5'!E104="","",'Cash Flow %s Yr5'!E104*'Expenses Summary'!$H60))</f>
        <v/>
      </c>
      <c r="F104" s="64" t="str">
        <f>IF('Expenses Summary'!$H60="","",IF('Cash Flow %s Yr5'!F104="","",'Cash Flow %s Yr5'!F104*'Expenses Summary'!$H60))</f>
        <v/>
      </c>
      <c r="G104" s="64" t="str">
        <f>IF('Expenses Summary'!$H60="","",IF('Cash Flow %s Yr5'!G104="","",'Cash Flow %s Yr5'!G104*'Expenses Summary'!$H60))</f>
        <v/>
      </c>
      <c r="H104" s="64" t="str">
        <f>IF('Expenses Summary'!$H60="","",IF('Cash Flow %s Yr5'!H104="","",'Cash Flow %s Yr5'!H104*'Expenses Summary'!$H60))</f>
        <v/>
      </c>
      <c r="I104" s="64" t="str">
        <f>IF('Expenses Summary'!$H60="","",IF('Cash Flow %s Yr5'!I104="","",'Cash Flow %s Yr5'!I104*'Expenses Summary'!$H60))</f>
        <v/>
      </c>
      <c r="J104" s="64" t="str">
        <f>IF('Expenses Summary'!$H60="","",IF('Cash Flow %s Yr5'!J104="","",'Cash Flow %s Yr5'!J104*'Expenses Summary'!$H60))</f>
        <v/>
      </c>
      <c r="K104" s="64" t="str">
        <f>IF('Expenses Summary'!$H60="","",IF('Cash Flow %s Yr5'!K104="","",'Cash Flow %s Yr5'!K104*'Expenses Summary'!$H60))</f>
        <v/>
      </c>
      <c r="L104" s="64" t="str">
        <f>IF('Expenses Summary'!$H60="","",IF('Cash Flow %s Yr5'!L104="","",'Cash Flow %s Yr5'!L104*'Expenses Summary'!$H60))</f>
        <v/>
      </c>
      <c r="M104" s="64" t="str">
        <f>IF('Expenses Summary'!$H60="","",IF('Cash Flow %s Yr5'!M104="","",'Cash Flow %s Yr5'!M104*'Expenses Summary'!$H60))</f>
        <v/>
      </c>
      <c r="N104" s="64" t="str">
        <f>IF('Expenses Summary'!$H60="","",IF('Cash Flow %s Yr5'!N104="","",'Cash Flow %s Yr5'!N104*'Expenses Summary'!$H60))</f>
        <v/>
      </c>
      <c r="O104" s="64" t="str">
        <f>IF('Expenses Summary'!$H60="","",IF('Cash Flow %s Yr5'!O104="","",'Cash Flow %s Yr5'!O104*'Expenses Summary'!$H60))</f>
        <v/>
      </c>
      <c r="P104" s="129"/>
      <c r="Q104" s="129"/>
      <c r="R104" s="129"/>
      <c r="S104" s="111"/>
    </row>
    <row r="105" spans="1:19" hidden="1" outlineLevel="1" x14ac:dyDescent="0.2">
      <c r="A105" s="36"/>
      <c r="B105" s="139">
        <f>'Expenses Summary'!B61</f>
        <v>0</v>
      </c>
      <c r="C105" s="139">
        <f>'Expenses Summary'!C61</f>
        <v>0</v>
      </c>
      <c r="D105" s="64" t="str">
        <f>IF('Expenses Summary'!$H61="","",IF('Cash Flow %s Yr5'!D105="","",'Cash Flow %s Yr5'!D105*'Expenses Summary'!$H61))</f>
        <v/>
      </c>
      <c r="E105" s="64" t="str">
        <f>IF('Expenses Summary'!$H61="","",IF('Cash Flow %s Yr5'!E105="","",'Cash Flow %s Yr5'!E105*'Expenses Summary'!$H61))</f>
        <v/>
      </c>
      <c r="F105" s="64" t="str">
        <f>IF('Expenses Summary'!$H61="","",IF('Cash Flow %s Yr5'!F105="","",'Cash Flow %s Yr5'!F105*'Expenses Summary'!$H61))</f>
        <v/>
      </c>
      <c r="G105" s="64" t="str">
        <f>IF('Expenses Summary'!$H61="","",IF('Cash Flow %s Yr5'!G105="","",'Cash Flow %s Yr5'!G105*'Expenses Summary'!$H61))</f>
        <v/>
      </c>
      <c r="H105" s="64" t="str">
        <f>IF('Expenses Summary'!$H61="","",IF('Cash Flow %s Yr5'!H105="","",'Cash Flow %s Yr5'!H105*'Expenses Summary'!$H61))</f>
        <v/>
      </c>
      <c r="I105" s="64" t="str">
        <f>IF('Expenses Summary'!$H61="","",IF('Cash Flow %s Yr5'!I105="","",'Cash Flow %s Yr5'!I105*'Expenses Summary'!$H61))</f>
        <v/>
      </c>
      <c r="J105" s="64" t="str">
        <f>IF('Expenses Summary'!$H61="","",IF('Cash Flow %s Yr5'!J105="","",'Cash Flow %s Yr5'!J105*'Expenses Summary'!$H61))</f>
        <v/>
      </c>
      <c r="K105" s="64" t="str">
        <f>IF('Expenses Summary'!$H61="","",IF('Cash Flow %s Yr5'!K105="","",'Cash Flow %s Yr5'!K105*'Expenses Summary'!$H61))</f>
        <v/>
      </c>
      <c r="L105" s="64" t="str">
        <f>IF('Expenses Summary'!$H61="","",IF('Cash Flow %s Yr5'!L105="","",'Cash Flow %s Yr5'!L105*'Expenses Summary'!$H61))</f>
        <v/>
      </c>
      <c r="M105" s="64" t="str">
        <f>IF('Expenses Summary'!$H61="","",IF('Cash Flow %s Yr5'!M105="","",'Cash Flow %s Yr5'!M105*'Expenses Summary'!$H61))</f>
        <v/>
      </c>
      <c r="N105" s="64" t="str">
        <f>IF('Expenses Summary'!$H61="","",IF('Cash Flow %s Yr5'!N105="","",'Cash Flow %s Yr5'!N105*'Expenses Summary'!$H61))</f>
        <v/>
      </c>
      <c r="O105" s="64" t="str">
        <f>IF('Expenses Summary'!$H61="","",IF('Cash Flow %s Yr5'!O105="","",'Cash Flow %s Yr5'!O105*'Expenses Summary'!$H61))</f>
        <v/>
      </c>
      <c r="P105" s="129"/>
      <c r="Q105" s="129"/>
      <c r="R105" s="129"/>
      <c r="S105" s="111"/>
    </row>
    <row r="106" spans="1:19" hidden="1" outlineLevel="1" x14ac:dyDescent="0.2">
      <c r="A106" s="36"/>
      <c r="B106" s="139">
        <f>'Expenses Summary'!B62</f>
        <v>0</v>
      </c>
      <c r="C106" s="139">
        <f>'Expenses Summary'!C62</f>
        <v>0</v>
      </c>
      <c r="D106" s="64" t="str">
        <f>IF('Expenses Summary'!$H62="","",IF('Cash Flow %s Yr5'!D106="","",'Cash Flow %s Yr5'!D106*'Expenses Summary'!$H62))</f>
        <v/>
      </c>
      <c r="E106" s="64" t="str">
        <f>IF('Expenses Summary'!$H62="","",IF('Cash Flow %s Yr5'!E106="","",'Cash Flow %s Yr5'!E106*'Expenses Summary'!$H62))</f>
        <v/>
      </c>
      <c r="F106" s="64" t="str">
        <f>IF('Expenses Summary'!$H62="","",IF('Cash Flow %s Yr5'!F106="","",'Cash Flow %s Yr5'!F106*'Expenses Summary'!$H62))</f>
        <v/>
      </c>
      <c r="G106" s="64" t="str">
        <f>IF('Expenses Summary'!$H62="","",IF('Cash Flow %s Yr5'!G106="","",'Cash Flow %s Yr5'!G106*'Expenses Summary'!$H62))</f>
        <v/>
      </c>
      <c r="H106" s="64" t="str">
        <f>IF('Expenses Summary'!$H62="","",IF('Cash Flow %s Yr5'!H106="","",'Cash Flow %s Yr5'!H106*'Expenses Summary'!$H62))</f>
        <v/>
      </c>
      <c r="I106" s="64" t="str">
        <f>IF('Expenses Summary'!$H62="","",IF('Cash Flow %s Yr5'!I106="","",'Cash Flow %s Yr5'!I106*'Expenses Summary'!$H62))</f>
        <v/>
      </c>
      <c r="J106" s="64" t="str">
        <f>IF('Expenses Summary'!$H62="","",IF('Cash Flow %s Yr5'!J106="","",'Cash Flow %s Yr5'!J106*'Expenses Summary'!$H62))</f>
        <v/>
      </c>
      <c r="K106" s="64" t="str">
        <f>IF('Expenses Summary'!$H62="","",IF('Cash Flow %s Yr5'!K106="","",'Cash Flow %s Yr5'!K106*'Expenses Summary'!$H62))</f>
        <v/>
      </c>
      <c r="L106" s="64" t="str">
        <f>IF('Expenses Summary'!$H62="","",IF('Cash Flow %s Yr5'!L106="","",'Cash Flow %s Yr5'!L106*'Expenses Summary'!$H62))</f>
        <v/>
      </c>
      <c r="M106" s="64" t="str">
        <f>IF('Expenses Summary'!$H62="","",IF('Cash Flow %s Yr5'!M106="","",'Cash Flow %s Yr5'!M106*'Expenses Summary'!$H62))</f>
        <v/>
      </c>
      <c r="N106" s="64" t="str">
        <f>IF('Expenses Summary'!$H62="","",IF('Cash Flow %s Yr5'!N106="","",'Cash Flow %s Yr5'!N106*'Expenses Summary'!$H62))</f>
        <v/>
      </c>
      <c r="O106" s="64" t="str">
        <f>IF('Expenses Summary'!$H62="","",IF('Cash Flow %s Yr5'!O106="","",'Cash Flow %s Yr5'!O106*'Expenses Summary'!$H62))</f>
        <v/>
      </c>
      <c r="P106" s="129"/>
      <c r="Q106" s="129"/>
      <c r="R106" s="129"/>
      <c r="S106" s="111"/>
    </row>
    <row r="107" spans="1:19" s="31" customFormat="1" collapsed="1" x14ac:dyDescent="0.2">
      <c r="A107" s="36"/>
      <c r="B107" s="139" t="str">
        <f>'Expenses Summary'!B63</f>
        <v>4700</v>
      </c>
      <c r="C107" s="139" t="str">
        <f>'Expenses Summary'!C63</f>
        <v>Food and Food Supplies</v>
      </c>
      <c r="D107" s="64">
        <f>IF('Expenses Summary'!$H63="","",IF('Cash Flow %s Yr5'!D107="","",'Cash Flow %s Yr5'!D107*'Expenses Summary'!$H63))</f>
        <v>0</v>
      </c>
      <c r="E107" s="64">
        <f>IF('Expenses Summary'!$H63="","",IF('Cash Flow %s Yr5'!E107="","",'Cash Flow %s Yr5'!E107*'Expenses Summary'!$H63))</f>
        <v>0</v>
      </c>
      <c r="F107" s="64">
        <f>IF('Expenses Summary'!$H63="","",IF('Cash Flow %s Yr5'!F107="","",'Cash Flow %s Yr5'!F107*'Expenses Summary'!$H63))</f>
        <v>27.976822712123994</v>
      </c>
      <c r="G107" s="64">
        <f>IF('Expenses Summary'!$H63="","",IF('Cash Flow %s Yr5'!G107="","",'Cash Flow %s Yr5'!G107*'Expenses Summary'!$H63))</f>
        <v>0</v>
      </c>
      <c r="H107" s="64">
        <f>IF('Expenses Summary'!$H63="","",IF('Cash Flow %s Yr5'!H107="","",'Cash Flow %s Yr5'!H107*'Expenses Summary'!$H63))</f>
        <v>50.866950385679992</v>
      </c>
      <c r="I107" s="64">
        <f>IF('Expenses Summary'!$H63="","",IF('Cash Flow %s Yr5'!I107="","",'Cash Flow %s Yr5'!I107*'Expenses Summary'!$H63))</f>
        <v>50.866950385679992</v>
      </c>
      <c r="J107" s="64">
        <f>IF('Expenses Summary'!$H63="","",IF('Cash Flow %s Yr5'!J107="","",'Cash Flow %s Yr5'!J107*'Expenses Summary'!$H63))</f>
        <v>50.866950385679992</v>
      </c>
      <c r="K107" s="64">
        <f>IF('Expenses Summary'!$H63="","",IF('Cash Flow %s Yr5'!K107="","",'Cash Flow %s Yr5'!K107*'Expenses Summary'!$H63))</f>
        <v>50.866950385679992</v>
      </c>
      <c r="L107" s="64">
        <f>IF('Expenses Summary'!$H63="","",IF('Cash Flow %s Yr5'!L107="","",'Cash Flow %s Yr5'!L107*'Expenses Summary'!$H63))</f>
        <v>50.866950385679992</v>
      </c>
      <c r="M107" s="64">
        <f>IF('Expenses Summary'!$H63="","",IF('Cash Flow %s Yr5'!M107="","",'Cash Flow %s Yr5'!M107*'Expenses Summary'!$H63))</f>
        <v>50.866950385679992</v>
      </c>
      <c r="N107" s="64">
        <f>IF('Expenses Summary'!$H63="","",IF('Cash Flow %s Yr5'!N107="","",'Cash Flow %s Yr5'!N107*'Expenses Summary'!$H63))</f>
        <v>50.866950385679992</v>
      </c>
      <c r="O107" s="64">
        <f>IF('Expenses Summary'!$H63="","",IF('Cash Flow %s Yr5'!O107="","",'Cash Flow %s Yr5'!O107*'Expenses Summary'!$H63))</f>
        <v>50.866950385679992</v>
      </c>
      <c r="P107" s="129"/>
      <c r="Q107" s="129"/>
      <c r="R107" s="129"/>
      <c r="S107" s="111">
        <f>IF(SUM(D107:R107)&gt;0,SUM(D107:R107)/'Expenses Summary'!$H63,"")</f>
        <v>0.85500000000000009</v>
      </c>
    </row>
    <row r="108" spans="1:19" s="31" customFormat="1" x14ac:dyDescent="0.2">
      <c r="A108" s="36"/>
      <c r="B108" s="33" t="s">
        <v>558</v>
      </c>
      <c r="C108" s="34" t="s">
        <v>721</v>
      </c>
      <c r="D108" s="172">
        <f t="shared" ref="D108:O108" si="9">IF(SUM(D90:D107)&gt;0,SUM(D90:D107),"")</f>
        <v>893.81581574999996</v>
      </c>
      <c r="E108" s="172">
        <f t="shared" si="9"/>
        <v>893.81581574999996</v>
      </c>
      <c r="F108" s="172">
        <f t="shared" si="9"/>
        <v>5716.7701016501778</v>
      </c>
      <c r="G108" s="172">
        <f t="shared" si="9"/>
        <v>1278.8260091864399</v>
      </c>
      <c r="H108" s="172">
        <f t="shared" si="9"/>
        <v>11427.495186943192</v>
      </c>
      <c r="I108" s="172">
        <f t="shared" si="9"/>
        <v>9270.8022668193062</v>
      </c>
      <c r="J108" s="172">
        <f t="shared" si="9"/>
        <v>13186.351548985971</v>
      </c>
      <c r="K108" s="172">
        <f t="shared" si="9"/>
        <v>1329.6929595721199</v>
      </c>
      <c r="L108" s="172">
        <f t="shared" si="9"/>
        <v>9872.1320409651198</v>
      </c>
      <c r="M108" s="172">
        <f t="shared" si="9"/>
        <v>1340.4618248221198</v>
      </c>
      <c r="N108" s="172">
        <f t="shared" si="9"/>
        <v>955.45163138567989</v>
      </c>
      <c r="O108" s="172">
        <f t="shared" si="9"/>
        <v>955.45163138567989</v>
      </c>
      <c r="P108" s="108"/>
      <c r="Q108" s="108"/>
      <c r="R108" s="108"/>
      <c r="S108" s="107"/>
    </row>
    <row r="109" spans="1:19" s="31" customFormat="1" x14ac:dyDescent="0.2">
      <c r="A109" s="36"/>
      <c r="B109" s="4"/>
      <c r="C109" s="3"/>
      <c r="D109" s="95"/>
      <c r="E109" s="95"/>
      <c r="F109" s="95"/>
      <c r="G109" s="95"/>
      <c r="H109" s="95"/>
      <c r="I109" s="95"/>
      <c r="J109" s="95"/>
      <c r="K109" s="95"/>
      <c r="L109" s="95"/>
      <c r="M109" s="95"/>
      <c r="N109" s="95"/>
      <c r="O109" s="95"/>
      <c r="P109" s="95"/>
      <c r="Q109" s="95"/>
      <c r="R109" s="95"/>
    </row>
    <row r="110" spans="1:19" s="31" customFormat="1" x14ac:dyDescent="0.2">
      <c r="B110" s="5" t="s">
        <v>722</v>
      </c>
      <c r="C110" s="3"/>
      <c r="D110" s="95"/>
      <c r="E110" s="95"/>
      <c r="F110" s="95"/>
      <c r="G110" s="95"/>
      <c r="H110" s="95"/>
      <c r="I110" s="95"/>
      <c r="J110" s="95"/>
      <c r="K110" s="95"/>
      <c r="L110" s="95"/>
      <c r="M110" s="95"/>
      <c r="N110" s="95"/>
      <c r="O110" s="95"/>
      <c r="P110" s="95"/>
      <c r="Q110" s="95"/>
      <c r="R110" s="95"/>
    </row>
    <row r="111" spans="1:19" s="31" customFormat="1" x14ac:dyDescent="0.2">
      <c r="A111" s="36"/>
      <c r="B111" s="139" t="str">
        <f>'Expenses Summary'!B67</f>
        <v>5200</v>
      </c>
      <c r="C111" s="139" t="str">
        <f>'Expenses Summary'!C67</f>
        <v>Travel and Conferences</v>
      </c>
      <c r="D111" s="64">
        <f>IF('Expenses Summary'!$H67="","",IF('Cash Flow %s Yr5'!D111="","",'Cash Flow %s Yr5'!D111*'Expenses Summary'!$H67))</f>
        <v>0</v>
      </c>
      <c r="E111" s="64">
        <f>IF('Expenses Summary'!$H67="","",IF('Cash Flow %s Yr5'!E111="","",'Cash Flow %s Yr5'!E111*'Expenses Summary'!$H67))</f>
        <v>0</v>
      </c>
      <c r="F111" s="64">
        <f>IF('Expenses Summary'!$H67="","",IF('Cash Flow %s Yr5'!F111="","",'Cash Flow %s Yr5'!F111*'Expenses Summary'!$H67))</f>
        <v>1628.9483098724547</v>
      </c>
      <c r="G111" s="64">
        <f>IF('Expenses Summary'!$H67="","",IF('Cash Flow %s Yr5'!G111="","",'Cash Flow %s Yr5'!G111*'Expenses Summary'!$H67))</f>
        <v>542.98276995748495</v>
      </c>
      <c r="H111" s="64">
        <f>IF('Expenses Summary'!$H67="","",IF('Cash Flow %s Yr5'!H111="","",'Cash Flow %s Yr5'!H111*'Expenses Summary'!$H67))</f>
        <v>542.98276995748495</v>
      </c>
      <c r="I111" s="64">
        <f>IF('Expenses Summary'!$H67="","",IF('Cash Flow %s Yr5'!I111="","",'Cash Flow %s Yr5'!I111*'Expenses Summary'!$H67))</f>
        <v>542.98276995748495</v>
      </c>
      <c r="J111" s="64">
        <f>IF('Expenses Summary'!$H67="","",IF('Cash Flow %s Yr5'!J111="","",'Cash Flow %s Yr5'!J111*'Expenses Summary'!$H67))</f>
        <v>542.98276995748495</v>
      </c>
      <c r="K111" s="64">
        <f>IF('Expenses Summary'!$H67="","",IF('Cash Flow %s Yr5'!K111="","",'Cash Flow %s Yr5'!K111*'Expenses Summary'!$H67))</f>
        <v>542.98276995748495</v>
      </c>
      <c r="L111" s="64">
        <f>IF('Expenses Summary'!$H67="","",IF('Cash Flow %s Yr5'!L111="","",'Cash Flow %s Yr5'!L111*'Expenses Summary'!$H67))</f>
        <v>542.98276995748495</v>
      </c>
      <c r="M111" s="64">
        <f>IF('Expenses Summary'!$H67="","",IF('Cash Flow %s Yr5'!M111="","",'Cash Flow %s Yr5'!M111*'Expenses Summary'!$H67))</f>
        <v>542.98276995748495</v>
      </c>
      <c r="N111" s="64">
        <f>IF('Expenses Summary'!$H67="","",IF('Cash Flow %s Yr5'!N111="","",'Cash Flow %s Yr5'!N111*'Expenses Summary'!$H67))</f>
        <v>0</v>
      </c>
      <c r="O111" s="64">
        <f>IF('Expenses Summary'!$H67="","",IF('Cash Flow %s Yr5'!O111="","",'Cash Flow %s Yr5'!O111*'Expenses Summary'!$H67))</f>
        <v>0</v>
      </c>
      <c r="P111" s="129"/>
      <c r="Q111" s="129"/>
      <c r="R111" s="129"/>
      <c r="S111" s="111">
        <f>IF(SUM(D111:R111)&gt;0,SUM(D111:R111)/'Expenses Summary'!$H67,"")</f>
        <v>1.0000000000000002</v>
      </c>
    </row>
    <row r="112" spans="1:19" s="31" customFormat="1" x14ac:dyDescent="0.2">
      <c r="A112" s="36"/>
      <c r="B112" s="139" t="str">
        <f>'Expenses Summary'!B68</f>
        <v>5210</v>
      </c>
      <c r="C112" s="139" t="str">
        <f>'Expenses Summary'!C68</f>
        <v>Training and Development Expense</v>
      </c>
      <c r="D112" s="64">
        <f>IF('Expenses Summary'!$H68="","",IF('Cash Flow %s Yr5'!D112="","",'Cash Flow %s Yr5'!D112*'Expenses Summary'!$H68))</f>
        <v>0</v>
      </c>
      <c r="E112" s="64">
        <f>IF('Expenses Summary'!$H68="","",IF('Cash Flow %s Yr5'!E112="","",'Cash Flow %s Yr5'!E112*'Expenses Summary'!$H68))</f>
        <v>0</v>
      </c>
      <c r="F112" s="64">
        <f>IF('Expenses Summary'!$H68="","",IF('Cash Flow %s Yr5'!F112="","",'Cash Flow %s Yr5'!F112*'Expenses Summary'!$H68))</f>
        <v>1278.6898907296797</v>
      </c>
      <c r="G112" s="64">
        <f>IF('Expenses Summary'!$H68="","",IF('Cash Flow %s Yr5'!G112="","",'Cash Flow %s Yr5'!G112*'Expenses Summary'!$H68))</f>
        <v>0</v>
      </c>
      <c r="H112" s="64">
        <f>IF('Expenses Summary'!$H68="","",IF('Cash Flow %s Yr5'!H112="","",'Cash Flow %s Yr5'!H112*'Expenses Summary'!$H68))</f>
        <v>0</v>
      </c>
      <c r="I112" s="64">
        <f>IF('Expenses Summary'!$H68="","",IF('Cash Flow %s Yr5'!I112="","",'Cash Flow %s Yr5'!I112*'Expenses Summary'!$H68))</f>
        <v>0</v>
      </c>
      <c r="J112" s="64">
        <f>IF('Expenses Summary'!$H68="","",IF('Cash Flow %s Yr5'!J112="","",'Cash Flow %s Yr5'!J112*'Expenses Summary'!$H68))</f>
        <v>0</v>
      </c>
      <c r="K112" s="64">
        <f>IF('Expenses Summary'!$H68="","",IF('Cash Flow %s Yr5'!K112="","",'Cash Flow %s Yr5'!K112*'Expenses Summary'!$H68))</f>
        <v>0</v>
      </c>
      <c r="L112" s="64">
        <f>IF('Expenses Summary'!$H68="","",IF('Cash Flow %s Yr5'!L112="","",'Cash Flow %s Yr5'!L112*'Expenses Summary'!$H68))</f>
        <v>142.07665452551996</v>
      </c>
      <c r="M112" s="64">
        <f>IF('Expenses Summary'!$H68="","",IF('Cash Flow %s Yr5'!M112="","",'Cash Flow %s Yr5'!M112*'Expenses Summary'!$H68))</f>
        <v>0</v>
      </c>
      <c r="N112" s="64">
        <f>IF('Expenses Summary'!$H68="","",IF('Cash Flow %s Yr5'!N112="","",'Cash Flow %s Yr5'!N112*'Expenses Summary'!$H68))</f>
        <v>0</v>
      </c>
      <c r="O112" s="64">
        <f>IF('Expenses Summary'!$H68="","",IF('Cash Flow %s Yr5'!O112="","",'Cash Flow %s Yr5'!O112*'Expenses Summary'!$H68))</f>
        <v>0</v>
      </c>
      <c r="P112" s="129"/>
      <c r="Q112" s="129"/>
      <c r="R112" s="129"/>
      <c r="S112" s="111">
        <f>IF(SUM(D112:R112)&gt;0,SUM(D112:R112)/'Expenses Summary'!$H68,"")</f>
        <v>1</v>
      </c>
    </row>
    <row r="113" spans="1:19" s="31" customFormat="1" x14ac:dyDescent="0.2">
      <c r="A113" s="36"/>
      <c r="B113" s="139" t="str">
        <f>'Expenses Summary'!B69</f>
        <v>5300</v>
      </c>
      <c r="C113" s="139" t="str">
        <f>'Expenses Summary'!C69</f>
        <v>Dues and Memberships</v>
      </c>
      <c r="D113" s="64">
        <f>IF('Expenses Summary'!$H69="","",IF('Cash Flow %s Yr5'!D113="","",'Cash Flow %s Yr5'!D113*'Expenses Summary'!$H69))</f>
        <v>0</v>
      </c>
      <c r="E113" s="64">
        <f>IF('Expenses Summary'!$H69="","",IF('Cash Flow %s Yr5'!E113="","",'Cash Flow %s Yr5'!E113*'Expenses Summary'!$H69))</f>
        <v>0</v>
      </c>
      <c r="F113" s="64">
        <f>IF('Expenses Summary'!$H69="","",IF('Cash Flow %s Yr5'!F113="","",'Cash Flow %s Yr5'!F113*'Expenses Summary'!$H69))</f>
        <v>2503.4432737228194</v>
      </c>
      <c r="G113" s="64">
        <f>IF('Expenses Summary'!$H69="","",IF('Cash Flow %s Yr5'!G113="","",'Cash Flow %s Yr5'!G113*'Expenses Summary'!$H69))</f>
        <v>834.48109124093992</v>
      </c>
      <c r="H113" s="64">
        <f>IF('Expenses Summary'!$H69="","",IF('Cash Flow %s Yr5'!H113="","",'Cash Flow %s Yr5'!H113*'Expenses Summary'!$H69))</f>
        <v>834.48109124093992</v>
      </c>
      <c r="I113" s="64">
        <f>IF('Expenses Summary'!$H69="","",IF('Cash Flow %s Yr5'!I113="","",'Cash Flow %s Yr5'!I113*'Expenses Summary'!$H69))</f>
        <v>834.48109124093992</v>
      </c>
      <c r="J113" s="64">
        <f>IF('Expenses Summary'!$H69="","",IF('Cash Flow %s Yr5'!J113="","",'Cash Flow %s Yr5'!J113*'Expenses Summary'!$H69))</f>
        <v>834.48109124093992</v>
      </c>
      <c r="K113" s="64">
        <f>IF('Expenses Summary'!$H69="","",IF('Cash Flow %s Yr5'!K113="","",'Cash Flow %s Yr5'!K113*'Expenses Summary'!$H69))</f>
        <v>834.48109124093992</v>
      </c>
      <c r="L113" s="64">
        <f>IF('Expenses Summary'!$H69="","",IF('Cash Flow %s Yr5'!L113="","",'Cash Flow %s Yr5'!L113*'Expenses Summary'!$H69))</f>
        <v>834.48109124093992</v>
      </c>
      <c r="M113" s="64">
        <f>IF('Expenses Summary'!$H69="","",IF('Cash Flow %s Yr5'!M113="","",'Cash Flow %s Yr5'!M113*'Expenses Summary'!$H69))</f>
        <v>834.48109124093992</v>
      </c>
      <c r="N113" s="64">
        <f>IF('Expenses Summary'!$H69="","",IF('Cash Flow %s Yr5'!N113="","",'Cash Flow %s Yr5'!N113*'Expenses Summary'!$H69))</f>
        <v>0</v>
      </c>
      <c r="O113" s="64">
        <f>IF('Expenses Summary'!$H69="","",IF('Cash Flow %s Yr5'!O113="","",'Cash Flow %s Yr5'!O113*'Expenses Summary'!$H69))</f>
        <v>0</v>
      </c>
      <c r="P113" s="129"/>
      <c r="Q113" s="129"/>
      <c r="R113" s="129"/>
      <c r="S113" s="111">
        <f>IF(SUM(D113:R113)&gt;0,SUM(D113:R113)/'Expenses Summary'!$H69,"")</f>
        <v>1.0000000000000002</v>
      </c>
    </row>
    <row r="114" spans="1:19" s="31" customFormat="1" x14ac:dyDescent="0.2">
      <c r="A114" s="36"/>
      <c r="B114" s="139" t="str">
        <f>'Expenses Summary'!B70</f>
        <v>5400</v>
      </c>
      <c r="C114" s="139" t="str">
        <f>'Expenses Summary'!C70</f>
        <v>Insurance</v>
      </c>
      <c r="D114" s="64">
        <f>IF('Expenses Summary'!$H70="","",IF('Cash Flow %s Yr5'!D114="","",'Cash Flow %s Yr5'!D114*'Expenses Summary'!$H70))</f>
        <v>0</v>
      </c>
      <c r="E114" s="64">
        <f>IF('Expenses Summary'!$H70="","",IF('Cash Flow %s Yr5'!E114="","",'Cash Flow %s Yr5'!E114*'Expenses Summary'!$H70))</f>
        <v>0</v>
      </c>
      <c r="F114" s="64">
        <f>IF('Expenses Summary'!$H70="","",IF('Cash Flow %s Yr5'!F114="","",'Cash Flow %s Yr5'!F114*'Expenses Summary'!$H70))</f>
        <v>4892.435909077858</v>
      </c>
      <c r="G114" s="64">
        <f>IF('Expenses Summary'!$H70="","",IF('Cash Flow %s Yr5'!G114="","",'Cash Flow %s Yr5'!G114*'Expenses Summary'!$H70))</f>
        <v>1630.8119696926196</v>
      </c>
      <c r="H114" s="64">
        <f>IF('Expenses Summary'!$H70="","",IF('Cash Flow %s Yr5'!H114="","",'Cash Flow %s Yr5'!H114*'Expenses Summary'!$H70))</f>
        <v>1630.8119696926196</v>
      </c>
      <c r="I114" s="64">
        <f>IF('Expenses Summary'!$H70="","",IF('Cash Flow %s Yr5'!I114="","",'Cash Flow %s Yr5'!I114*'Expenses Summary'!$H70))</f>
        <v>1630.8119696926196</v>
      </c>
      <c r="J114" s="64">
        <f>IF('Expenses Summary'!$H70="","",IF('Cash Flow %s Yr5'!J114="","",'Cash Flow %s Yr5'!J114*'Expenses Summary'!$H70))</f>
        <v>1630.8119696926196</v>
      </c>
      <c r="K114" s="64">
        <f>IF('Expenses Summary'!$H70="","",IF('Cash Flow %s Yr5'!K114="","",'Cash Flow %s Yr5'!K114*'Expenses Summary'!$H70))</f>
        <v>1630.8119696926196</v>
      </c>
      <c r="L114" s="64">
        <f>IF('Expenses Summary'!$H70="","",IF('Cash Flow %s Yr5'!L114="","",'Cash Flow %s Yr5'!L114*'Expenses Summary'!$H70))</f>
        <v>1630.8119696926196</v>
      </c>
      <c r="M114" s="64">
        <f>IF('Expenses Summary'!$H70="","",IF('Cash Flow %s Yr5'!M114="","",'Cash Flow %s Yr5'!M114*'Expenses Summary'!$H70))</f>
        <v>1630.8119696926196</v>
      </c>
      <c r="N114" s="64">
        <f>IF('Expenses Summary'!$H70="","",IF('Cash Flow %s Yr5'!N114="","",'Cash Flow %s Yr5'!N114*'Expenses Summary'!$H70))</f>
        <v>0</v>
      </c>
      <c r="O114" s="64">
        <f>IF('Expenses Summary'!$H70="","",IF('Cash Flow %s Yr5'!O114="","",'Cash Flow %s Yr5'!O114*'Expenses Summary'!$H70))</f>
        <v>0</v>
      </c>
      <c r="P114" s="129"/>
      <c r="Q114" s="129"/>
      <c r="R114" s="129"/>
      <c r="S114" s="111">
        <f>IF(SUM(D114:R114)&gt;0,SUM(D114:R114)/'Expenses Summary'!$H70,"")</f>
        <v>0.99999999999999978</v>
      </c>
    </row>
    <row r="115" spans="1:19" s="31" customFormat="1" x14ac:dyDescent="0.2">
      <c r="A115" s="36"/>
      <c r="B115" s="139" t="e">
        <f>'Expenses Summary'!#REF!</f>
        <v>#REF!</v>
      </c>
      <c r="C115" s="139" t="e">
        <f>'Expenses Summary'!#REF!</f>
        <v>#REF!</v>
      </c>
      <c r="D115" s="64" t="e">
        <f>IF('Expenses Summary'!#REF!="","",IF('Cash Flow %s Yr5'!D115="","",'Cash Flow %s Yr5'!D115*'Expenses Summary'!#REF!))</f>
        <v>#REF!</v>
      </c>
      <c r="E115" s="64" t="e">
        <f>IF('Expenses Summary'!#REF!="","",IF('Cash Flow %s Yr5'!E115="","",'Cash Flow %s Yr5'!E115*'Expenses Summary'!#REF!))</f>
        <v>#REF!</v>
      </c>
      <c r="F115" s="64" t="e">
        <f>IF('Expenses Summary'!#REF!="","",IF('Cash Flow %s Yr5'!F115="","",'Cash Flow %s Yr5'!F115*'Expenses Summary'!#REF!))</f>
        <v>#REF!</v>
      </c>
      <c r="G115" s="64" t="e">
        <f>IF('Expenses Summary'!#REF!="","",IF('Cash Flow %s Yr5'!G115="","",'Cash Flow %s Yr5'!G115*'Expenses Summary'!#REF!))</f>
        <v>#REF!</v>
      </c>
      <c r="H115" s="64" t="e">
        <f>IF('Expenses Summary'!#REF!="","",IF('Cash Flow %s Yr5'!H115="","",'Cash Flow %s Yr5'!H115*'Expenses Summary'!#REF!))</f>
        <v>#REF!</v>
      </c>
      <c r="I115" s="64" t="e">
        <f>IF('Expenses Summary'!#REF!="","",IF('Cash Flow %s Yr5'!I115="","",'Cash Flow %s Yr5'!I115*'Expenses Summary'!#REF!))</f>
        <v>#REF!</v>
      </c>
      <c r="J115" s="64" t="e">
        <f>IF('Expenses Summary'!#REF!="","",IF('Cash Flow %s Yr5'!J115="","",'Cash Flow %s Yr5'!J115*'Expenses Summary'!#REF!))</f>
        <v>#REF!</v>
      </c>
      <c r="K115" s="64" t="e">
        <f>IF('Expenses Summary'!#REF!="","",IF('Cash Flow %s Yr5'!K115="","",'Cash Flow %s Yr5'!K115*'Expenses Summary'!#REF!))</f>
        <v>#REF!</v>
      </c>
      <c r="L115" s="64" t="e">
        <f>IF('Expenses Summary'!#REF!="","",IF('Cash Flow %s Yr5'!L115="","",'Cash Flow %s Yr5'!L115*'Expenses Summary'!#REF!))</f>
        <v>#REF!</v>
      </c>
      <c r="M115" s="64" t="e">
        <f>IF('Expenses Summary'!#REF!="","",IF('Cash Flow %s Yr5'!M115="","",'Cash Flow %s Yr5'!M115*'Expenses Summary'!#REF!))</f>
        <v>#REF!</v>
      </c>
      <c r="N115" s="64" t="e">
        <f>IF('Expenses Summary'!#REF!="","",IF('Cash Flow %s Yr5'!N115="","",'Cash Flow %s Yr5'!N115*'Expenses Summary'!#REF!))</f>
        <v>#REF!</v>
      </c>
      <c r="O115" s="64" t="e">
        <f>IF('Expenses Summary'!#REF!="","",IF('Cash Flow %s Yr5'!O115="","",'Cash Flow %s Yr5'!O115*'Expenses Summary'!#REF!))</f>
        <v>#REF!</v>
      </c>
      <c r="P115" s="129"/>
      <c r="Q115" s="129"/>
      <c r="R115" s="129"/>
      <c r="S115" s="111" t="e">
        <f>IF(SUM(D115:R115)&gt;0,SUM(D115:R115)/'Expenses Summary'!#REF!,"")</f>
        <v>#REF!</v>
      </c>
    </row>
    <row r="116" spans="1:19" s="31" customFormat="1" x14ac:dyDescent="0.2">
      <c r="A116" s="36"/>
      <c r="B116" s="139" t="str">
        <f>'Expenses Summary'!B71</f>
        <v>5500</v>
      </c>
      <c r="C116" s="139" t="str">
        <f>'Expenses Summary'!C71</f>
        <v>Operation and Housekeeping Services/Supplies</v>
      </c>
      <c r="D116" s="64">
        <f>IF('Expenses Summary'!$H71="","",IF('Cash Flow %s Yr5'!D116="","",'Cash Flow %s Yr5'!D116*'Expenses Summary'!$H71))</f>
        <v>760.04322921210246</v>
      </c>
      <c r="E116" s="64">
        <f>IF('Expenses Summary'!$H71="","",IF('Cash Flow %s Yr5'!E116="","",'Cash Flow %s Yr5'!E116*'Expenses Summary'!$H71))</f>
        <v>760.04322921210246</v>
      </c>
      <c r="F116" s="64">
        <f>IF('Expenses Summary'!$H71="","",IF('Cash Flow %s Yr5'!F116="","",'Cash Flow %s Yr5'!F116*'Expenses Summary'!$H71))</f>
        <v>760.04322921210246</v>
      </c>
      <c r="G116" s="64">
        <f>IF('Expenses Summary'!$H71="","",IF('Cash Flow %s Yr5'!G116="","",'Cash Flow %s Yr5'!G116*'Expenses Summary'!$H71))</f>
        <v>760.04322921210246</v>
      </c>
      <c r="H116" s="64">
        <f>IF('Expenses Summary'!$H71="","",IF('Cash Flow %s Yr5'!H116="","",'Cash Flow %s Yr5'!H116*'Expenses Summary'!$H71))</f>
        <v>760.04322921210246</v>
      </c>
      <c r="I116" s="64">
        <f>IF('Expenses Summary'!$H71="","",IF('Cash Flow %s Yr5'!I116="","",'Cash Flow %s Yr5'!I116*'Expenses Summary'!$H71))</f>
        <v>760.04322921210246</v>
      </c>
      <c r="J116" s="64">
        <f>IF('Expenses Summary'!$H71="","",IF('Cash Flow %s Yr5'!J116="","",'Cash Flow %s Yr5'!J116*'Expenses Summary'!$H71))</f>
        <v>760.04322921210246</v>
      </c>
      <c r="K116" s="64">
        <f>IF('Expenses Summary'!$H71="","",IF('Cash Flow %s Yr5'!K116="","",'Cash Flow %s Yr5'!K116*'Expenses Summary'!$H71))</f>
        <v>760.04322921210246</v>
      </c>
      <c r="L116" s="64">
        <f>IF('Expenses Summary'!$H71="","",IF('Cash Flow %s Yr5'!L116="","",'Cash Flow %s Yr5'!L116*'Expenses Summary'!$H71))</f>
        <v>769.20037655200724</v>
      </c>
      <c r="M116" s="64">
        <f>IF('Expenses Summary'!$H71="","",IF('Cash Flow %s Yr5'!M116="","",'Cash Flow %s Yr5'!M116*'Expenses Summary'!$H71))</f>
        <v>769.20037655200724</v>
      </c>
      <c r="N116" s="64">
        <f>IF('Expenses Summary'!$H71="","",IF('Cash Flow %s Yr5'!N116="","",'Cash Flow %s Yr5'!N116*'Expenses Summary'!$H71))</f>
        <v>769.20037655200724</v>
      </c>
      <c r="O116" s="64">
        <f>IF('Expenses Summary'!$H71="","",IF('Cash Flow %s Yr5'!O116="","",'Cash Flow %s Yr5'!O116*'Expenses Summary'!$H71))</f>
        <v>769.20037655200724</v>
      </c>
      <c r="P116" s="129"/>
      <c r="Q116" s="129"/>
      <c r="R116" s="129"/>
      <c r="S116" s="111">
        <f>IF(SUM(D116:R116)&gt;0,SUM(D116:R116)/'Expenses Summary'!$H71,"")</f>
        <v>1</v>
      </c>
    </row>
    <row r="117" spans="1:19" s="31" customFormat="1" x14ac:dyDescent="0.2">
      <c r="A117" s="36"/>
      <c r="B117" s="139" t="str">
        <f>'Expenses Summary'!B72</f>
        <v>5501</v>
      </c>
      <c r="C117" s="139" t="str">
        <f>'Expenses Summary'!C72</f>
        <v>Utilities</v>
      </c>
      <c r="D117" s="64">
        <f>IF('Expenses Summary'!$H72="","",IF('Cash Flow %s Yr5'!D117="","",'Cash Flow %s Yr5'!D117*'Expenses Summary'!$H72))</f>
        <v>0</v>
      </c>
      <c r="E117" s="64">
        <f>IF('Expenses Summary'!$H72="","",IF('Cash Flow %s Yr5'!E117="","",'Cash Flow %s Yr5'!E117*'Expenses Summary'!$H72))</f>
        <v>0</v>
      </c>
      <c r="F117" s="64">
        <f>IF('Expenses Summary'!$H72="","",IF('Cash Flow %s Yr5'!F117="","",'Cash Flow %s Yr5'!F117*'Expenses Summary'!$H72))</f>
        <v>0</v>
      </c>
      <c r="G117" s="64">
        <f>IF('Expenses Summary'!$H72="","",IF('Cash Flow %s Yr5'!G117="","",'Cash Flow %s Yr5'!G117*'Expenses Summary'!$H72))</f>
        <v>0</v>
      </c>
      <c r="H117" s="64">
        <f>IF('Expenses Summary'!$H72="","",IF('Cash Flow %s Yr5'!H117="","",'Cash Flow %s Yr5'!H117*'Expenses Summary'!$H72))</f>
        <v>0</v>
      </c>
      <c r="I117" s="64">
        <f>IF('Expenses Summary'!$H72="","",IF('Cash Flow %s Yr5'!I117="","",'Cash Flow %s Yr5'!I117*'Expenses Summary'!$H72))</f>
        <v>0</v>
      </c>
      <c r="J117" s="64">
        <f>IF('Expenses Summary'!$H72="","",IF('Cash Flow %s Yr5'!J117="","",'Cash Flow %s Yr5'!J117*'Expenses Summary'!$H72))</f>
        <v>0</v>
      </c>
      <c r="K117" s="64">
        <f>IF('Expenses Summary'!$H72="","",IF('Cash Flow %s Yr5'!K117="","",'Cash Flow %s Yr5'!K117*'Expenses Summary'!$H72))</f>
        <v>0</v>
      </c>
      <c r="L117" s="64">
        <f>IF('Expenses Summary'!$H72="","",IF('Cash Flow %s Yr5'!L117="","",'Cash Flow %s Yr5'!L117*'Expenses Summary'!$H72))</f>
        <v>0</v>
      </c>
      <c r="M117" s="64">
        <f>IF('Expenses Summary'!$H72="","",IF('Cash Flow %s Yr5'!M117="","",'Cash Flow %s Yr5'!M117*'Expenses Summary'!$H72))</f>
        <v>0</v>
      </c>
      <c r="N117" s="64">
        <f>IF('Expenses Summary'!$H72="","",IF('Cash Flow %s Yr5'!N117="","",'Cash Flow %s Yr5'!N117*'Expenses Summary'!$H72))</f>
        <v>0</v>
      </c>
      <c r="O117" s="64">
        <f>IF('Expenses Summary'!$H72="","",IF('Cash Flow %s Yr5'!O117="","",'Cash Flow %s Yr5'!O117*'Expenses Summary'!$H72))</f>
        <v>0</v>
      </c>
      <c r="P117" s="129"/>
      <c r="Q117" s="129"/>
      <c r="R117" s="129"/>
      <c r="S117" s="111" t="str">
        <f>IF(SUM(D117:R117)&gt;0,SUM(D117:R117)/'Expenses Summary'!$H72,"")</f>
        <v/>
      </c>
    </row>
    <row r="118" spans="1:19" s="31" customFormat="1" x14ac:dyDescent="0.2">
      <c r="A118" s="36"/>
      <c r="B118" s="139" t="str">
        <f>'Expenses Summary'!B73</f>
        <v>5505</v>
      </c>
      <c r="C118" s="139" t="str">
        <f>'Expenses Summary'!C73</f>
        <v>Student Transportation / Field Trips</v>
      </c>
      <c r="D118" s="64">
        <f>IF('Expenses Summary'!$H73="","",IF('Cash Flow %s Yr5'!D118="","",'Cash Flow %s Yr5'!D118*'Expenses Summary'!$H73))</f>
        <v>0</v>
      </c>
      <c r="E118" s="64">
        <f>IF('Expenses Summary'!$H73="","",IF('Cash Flow %s Yr5'!E118="","",'Cash Flow %s Yr5'!E118*'Expenses Summary'!$H73))</f>
        <v>0</v>
      </c>
      <c r="F118" s="64">
        <f>IF('Expenses Summary'!$H73="","",IF('Cash Flow %s Yr5'!F118="","",'Cash Flow %s Yr5'!F118*'Expenses Summary'!$H73))</f>
        <v>0</v>
      </c>
      <c r="G118" s="64">
        <f>IF('Expenses Summary'!$H73="","",IF('Cash Flow %s Yr5'!G118="","",'Cash Flow %s Yr5'!G118*'Expenses Summary'!$H73))</f>
        <v>0</v>
      </c>
      <c r="H118" s="64">
        <f>IF('Expenses Summary'!$H73="","",IF('Cash Flow %s Yr5'!H118="","",'Cash Flow %s Yr5'!H118*'Expenses Summary'!$H73))</f>
        <v>0</v>
      </c>
      <c r="I118" s="64">
        <f>IF('Expenses Summary'!$H73="","",IF('Cash Flow %s Yr5'!I118="","",'Cash Flow %s Yr5'!I118*'Expenses Summary'!$H73))</f>
        <v>0</v>
      </c>
      <c r="J118" s="64">
        <f>IF('Expenses Summary'!$H73="","",IF('Cash Flow %s Yr5'!J118="","",'Cash Flow %s Yr5'!J118*'Expenses Summary'!$H73))</f>
        <v>0</v>
      </c>
      <c r="K118" s="64">
        <f>IF('Expenses Summary'!$H73="","",IF('Cash Flow %s Yr5'!K118="","",'Cash Flow %s Yr5'!K118*'Expenses Summary'!$H73))</f>
        <v>0</v>
      </c>
      <c r="L118" s="64">
        <f>IF('Expenses Summary'!$H73="","",IF('Cash Flow %s Yr5'!L118="","",'Cash Flow %s Yr5'!L118*'Expenses Summary'!$H73))</f>
        <v>0</v>
      </c>
      <c r="M118" s="64">
        <f>IF('Expenses Summary'!$H73="","",IF('Cash Flow %s Yr5'!M118="","",'Cash Flow %s Yr5'!M118*'Expenses Summary'!$H73))</f>
        <v>0</v>
      </c>
      <c r="N118" s="64">
        <f>IF('Expenses Summary'!$H73="","",IF('Cash Flow %s Yr5'!N118="","",'Cash Flow %s Yr5'!N118*'Expenses Summary'!$H73))</f>
        <v>0</v>
      </c>
      <c r="O118" s="64">
        <f>IF('Expenses Summary'!$H73="","",IF('Cash Flow %s Yr5'!O118="","",'Cash Flow %s Yr5'!O118*'Expenses Summary'!$H73))</f>
        <v>0</v>
      </c>
      <c r="P118" s="129"/>
      <c r="Q118" s="129"/>
      <c r="R118" s="129"/>
      <c r="S118" s="111" t="str">
        <f>IF(SUM(D118:R118)&gt;0,SUM(D118:R118)/'Expenses Summary'!$H73,"")</f>
        <v/>
      </c>
    </row>
    <row r="119" spans="1:19" s="31" customFormat="1" x14ac:dyDescent="0.2">
      <c r="A119" s="36"/>
      <c r="B119" s="139" t="str">
        <f>'Expenses Summary'!B74</f>
        <v>5600</v>
      </c>
      <c r="C119" s="139" t="str">
        <f>'Expenses Summary'!C74</f>
        <v>Space Rental/Leases Expense</v>
      </c>
      <c r="D119" s="64">
        <f>IF('Expenses Summary'!$H74="","",IF('Cash Flow %s Yr5'!D119="","",'Cash Flow %s Yr5'!D119*'Expenses Summary'!$H74))</f>
        <v>2804.1155913127495</v>
      </c>
      <c r="E119" s="64">
        <f>IF('Expenses Summary'!$H74="","",IF('Cash Flow %s Yr5'!E119="","",'Cash Flow %s Yr5'!E119*'Expenses Summary'!$H74))</f>
        <v>2804.1155913127495</v>
      </c>
      <c r="F119" s="64">
        <f>IF('Expenses Summary'!$H74="","",IF('Cash Flow %s Yr5'!F119="","",'Cash Flow %s Yr5'!F119*'Expenses Summary'!$H74))</f>
        <v>5047.4080643629486</v>
      </c>
      <c r="G119" s="64">
        <f>IF('Expenses Summary'!$H74="","",IF('Cash Flow %s Yr5'!G119="","",'Cash Flow %s Yr5'!G119*'Expenses Summary'!$H74))</f>
        <v>5047.4080643629486</v>
      </c>
      <c r="H119" s="64">
        <f>IF('Expenses Summary'!$H74="","",IF('Cash Flow %s Yr5'!H119="","",'Cash Flow %s Yr5'!H119*'Expenses Summary'!$H74))</f>
        <v>5047.4080643629486</v>
      </c>
      <c r="I119" s="64">
        <f>IF('Expenses Summary'!$H74="","",IF('Cash Flow %s Yr5'!I119="","",'Cash Flow %s Yr5'!I119*'Expenses Summary'!$H74))</f>
        <v>5047.4080643629486</v>
      </c>
      <c r="J119" s="64">
        <f>IF('Expenses Summary'!$H74="","",IF('Cash Flow %s Yr5'!J119="","",'Cash Flow %s Yr5'!J119*'Expenses Summary'!$H74))</f>
        <v>5047.4080643629486</v>
      </c>
      <c r="K119" s="64">
        <f>IF('Expenses Summary'!$H74="","",IF('Cash Flow %s Yr5'!K119="","",'Cash Flow %s Yr5'!K119*'Expenses Summary'!$H74))</f>
        <v>5047.4080643629486</v>
      </c>
      <c r="L119" s="64">
        <f>IF('Expenses Summary'!$H74="","",IF('Cash Flow %s Yr5'!L119="","",'Cash Flow %s Yr5'!L119*'Expenses Summary'!$H74))</f>
        <v>5047.4080643629486</v>
      </c>
      <c r="M119" s="64">
        <f>IF('Expenses Summary'!$H74="","",IF('Cash Flow %s Yr5'!M119="","",'Cash Flow %s Yr5'!M119*'Expenses Summary'!$H74))</f>
        <v>5047.4080643629486</v>
      </c>
      <c r="N119" s="64">
        <f>IF('Expenses Summary'!$H74="","",IF('Cash Flow %s Yr5'!N119="","",'Cash Flow %s Yr5'!N119*'Expenses Summary'!$H74))</f>
        <v>5047.4080643629486</v>
      </c>
      <c r="O119" s="64">
        <f>IF('Expenses Summary'!$H74="","",IF('Cash Flow %s Yr5'!O119="","",'Cash Flow %s Yr5'!O119*'Expenses Summary'!$H74))</f>
        <v>5047.4080643629486</v>
      </c>
      <c r="P119" s="129"/>
      <c r="Q119" s="129"/>
      <c r="R119" s="129"/>
      <c r="S119" s="111">
        <f>IF(SUM(D119:R119)&gt;0,SUM(D119:R119)/'Expenses Summary'!$H74,"")</f>
        <v>1.0000000000000002</v>
      </c>
    </row>
    <row r="120" spans="1:19" s="31" customFormat="1" x14ac:dyDescent="0.2">
      <c r="A120" s="36"/>
      <c r="B120" s="139" t="str">
        <f>'Expenses Summary'!B75</f>
        <v>5601</v>
      </c>
      <c r="C120" s="139" t="str">
        <f>'Expenses Summary'!C75</f>
        <v>Building Maintenance</v>
      </c>
      <c r="D120" s="64">
        <f>IF('Expenses Summary'!$H75="","",IF('Cash Flow %s Yr5'!D120="","",'Cash Flow %s Yr5'!D120*'Expenses Summary'!$H75))</f>
        <v>72.701369584636637</v>
      </c>
      <c r="E120" s="64">
        <f>IF('Expenses Summary'!$H75="","",IF('Cash Flow %s Yr5'!E120="","",'Cash Flow %s Yr5'!E120*'Expenses Summary'!$H75))</f>
        <v>72.701369584636637</v>
      </c>
      <c r="F120" s="64">
        <f>IF('Expenses Summary'!$H75="","",IF('Cash Flow %s Yr5'!F120="","",'Cash Flow %s Yr5'!F120*'Expenses Summary'!$H75))</f>
        <v>72.701369584636637</v>
      </c>
      <c r="G120" s="64">
        <f>IF('Expenses Summary'!$H75="","",IF('Cash Flow %s Yr5'!G120="","",'Cash Flow %s Yr5'!G120*'Expenses Summary'!$H75))</f>
        <v>72.701369584636637</v>
      </c>
      <c r="H120" s="64">
        <f>IF('Expenses Summary'!$H75="","",IF('Cash Flow %s Yr5'!H120="","",'Cash Flow %s Yr5'!H120*'Expenses Summary'!$H75))</f>
        <v>72.701369584636637</v>
      </c>
      <c r="I120" s="64">
        <f>IF('Expenses Summary'!$H75="","",IF('Cash Flow %s Yr5'!I120="","",'Cash Flow %s Yr5'!I120*'Expenses Summary'!$H75))</f>
        <v>72.701369584636637</v>
      </c>
      <c r="J120" s="64">
        <f>IF('Expenses Summary'!$H75="","",IF('Cash Flow %s Yr5'!J120="","",'Cash Flow %s Yr5'!J120*'Expenses Summary'!$H75))</f>
        <v>72.701369584636637</v>
      </c>
      <c r="K120" s="64">
        <f>IF('Expenses Summary'!$H75="","",IF('Cash Flow %s Yr5'!K120="","",'Cash Flow %s Yr5'!K120*'Expenses Summary'!$H75))</f>
        <v>72.701369584636637</v>
      </c>
      <c r="L120" s="64">
        <f>IF('Expenses Summary'!$H75="","",IF('Cash Flow %s Yr5'!L120="","",'Cash Flow %s Yr5'!L120*'Expenses Summary'!$H75))</f>
        <v>73.577289700114193</v>
      </c>
      <c r="M120" s="64">
        <f>IF('Expenses Summary'!$H75="","",IF('Cash Flow %s Yr5'!M120="","",'Cash Flow %s Yr5'!M120*'Expenses Summary'!$H75))</f>
        <v>73.577289700114193</v>
      </c>
      <c r="N120" s="64">
        <f>IF('Expenses Summary'!$H75="","",IF('Cash Flow %s Yr5'!N120="","",'Cash Flow %s Yr5'!N120*'Expenses Summary'!$H75))</f>
        <v>73.577289700114193</v>
      </c>
      <c r="O120" s="64">
        <f>IF('Expenses Summary'!$H75="","",IF('Cash Flow %s Yr5'!O120="","",'Cash Flow %s Yr5'!O120*'Expenses Summary'!$H75))</f>
        <v>73.577289700114193</v>
      </c>
      <c r="P120" s="129"/>
      <c r="Q120" s="129"/>
      <c r="R120" s="129"/>
      <c r="S120" s="111">
        <f>IF(SUM(D120:R120)&gt;0,SUM(D120:R120)/'Expenses Summary'!$H75,"")</f>
        <v>0.99999999999999989</v>
      </c>
    </row>
    <row r="121" spans="1:19" s="31" customFormat="1" x14ac:dyDescent="0.2">
      <c r="A121" s="36"/>
      <c r="B121" s="139" t="str">
        <f>'Expenses Summary'!B76</f>
        <v>5602</v>
      </c>
      <c r="C121" s="139" t="str">
        <f>'Expenses Summary'!C76</f>
        <v>Other Space Rental</v>
      </c>
      <c r="D121" s="64">
        <f>IF('Expenses Summary'!$H76="","",IF('Cash Flow %s Yr5'!D121="","",'Cash Flow %s Yr5'!D121*'Expenses Summary'!$H76))</f>
        <v>101.90930404855199</v>
      </c>
      <c r="E121" s="64">
        <f>IF('Expenses Summary'!$H76="","",IF('Cash Flow %s Yr5'!E121="","",'Cash Flow %s Yr5'!E121*'Expenses Summary'!$H76))</f>
        <v>101.90930404855199</v>
      </c>
      <c r="F121" s="64">
        <f>IF('Expenses Summary'!$H76="","",IF('Cash Flow %s Yr5'!F121="","",'Cash Flow %s Yr5'!F121*'Expenses Summary'!$H76))</f>
        <v>101.90930404855199</v>
      </c>
      <c r="G121" s="64">
        <f>IF('Expenses Summary'!$H76="","",IF('Cash Flow %s Yr5'!G121="","",'Cash Flow %s Yr5'!G121*'Expenses Summary'!$H76))</f>
        <v>101.90930404855199</v>
      </c>
      <c r="H121" s="64">
        <f>IF('Expenses Summary'!$H76="","",IF('Cash Flow %s Yr5'!H121="","",'Cash Flow %s Yr5'!H121*'Expenses Summary'!$H76))</f>
        <v>101.90930404855199</v>
      </c>
      <c r="I121" s="64">
        <f>IF('Expenses Summary'!$H76="","",IF('Cash Flow %s Yr5'!I121="","",'Cash Flow %s Yr5'!I121*'Expenses Summary'!$H76))</f>
        <v>101.90930404855199</v>
      </c>
      <c r="J121" s="64">
        <f>IF('Expenses Summary'!$H76="","",IF('Cash Flow %s Yr5'!J121="","",'Cash Flow %s Yr5'!J121*'Expenses Summary'!$H76))</f>
        <v>101.90930404855199</v>
      </c>
      <c r="K121" s="64">
        <f>IF('Expenses Summary'!$H76="","",IF('Cash Flow %s Yr5'!K121="","",'Cash Flow %s Yr5'!K121*'Expenses Summary'!$H76))</f>
        <v>101.90930404855199</v>
      </c>
      <c r="L121" s="64">
        <f>IF('Expenses Summary'!$H76="","",IF('Cash Flow %s Yr5'!L121="","",'Cash Flow %s Yr5'!L121*'Expenses Summary'!$H76))</f>
        <v>103.13712698889599</v>
      </c>
      <c r="M121" s="64">
        <f>IF('Expenses Summary'!$H76="","",IF('Cash Flow %s Yr5'!M121="","",'Cash Flow %s Yr5'!M121*'Expenses Summary'!$H76))</f>
        <v>103.13712698889599</v>
      </c>
      <c r="N121" s="64">
        <f>IF('Expenses Summary'!$H76="","",IF('Cash Flow %s Yr5'!N121="","",'Cash Flow %s Yr5'!N121*'Expenses Summary'!$H76))</f>
        <v>103.13712698889599</v>
      </c>
      <c r="O121" s="64">
        <f>IF('Expenses Summary'!$H76="","",IF('Cash Flow %s Yr5'!O121="","",'Cash Flow %s Yr5'!O121*'Expenses Summary'!$H76))</f>
        <v>103.13712698889599</v>
      </c>
      <c r="P121" s="129"/>
      <c r="Q121" s="129"/>
      <c r="R121" s="129"/>
      <c r="S121" s="111">
        <f>IF(SUM(D121:R121)&gt;0,SUM(D121:R121)/'Expenses Summary'!$H76,"")</f>
        <v>1</v>
      </c>
    </row>
    <row r="122" spans="1:19" s="31" customFormat="1" x14ac:dyDescent="0.2">
      <c r="A122" s="36"/>
      <c r="B122" s="139" t="str">
        <f>'Expenses Summary'!B77</f>
        <v>5605</v>
      </c>
      <c r="C122" s="139" t="str">
        <f>'Expenses Summary'!C77</f>
        <v>Equipment Rental/Lease Expense</v>
      </c>
      <c r="D122" s="64">
        <f>IF('Expenses Summary'!$H77="","",IF('Cash Flow %s Yr5'!D122="","",'Cash Flow %s Yr5'!D122*'Expenses Summary'!$H77))</f>
        <v>0</v>
      </c>
      <c r="E122" s="64">
        <f>IF('Expenses Summary'!$H77="","",IF('Cash Flow %s Yr5'!E122="","",'Cash Flow %s Yr5'!E122*'Expenses Summary'!$H77))</f>
        <v>0</v>
      </c>
      <c r="F122" s="64">
        <f>IF('Expenses Summary'!$H77="","",IF('Cash Flow %s Yr5'!F122="","",'Cash Flow %s Yr5'!F122*'Expenses Summary'!$H77))</f>
        <v>148.87353151670999</v>
      </c>
      <c r="G122" s="64">
        <f>IF('Expenses Summary'!$H77="","",IF('Cash Flow %s Yr5'!G122="","",'Cash Flow %s Yr5'!G122*'Expenses Summary'!$H77))</f>
        <v>148.87353151670999</v>
      </c>
      <c r="H122" s="64">
        <f>IF('Expenses Summary'!$H77="","",IF('Cash Flow %s Yr5'!H122="","",'Cash Flow %s Yr5'!H122*'Expenses Summary'!$H77))</f>
        <v>148.87353151670999</v>
      </c>
      <c r="I122" s="64">
        <f>IF('Expenses Summary'!$H77="","",IF('Cash Flow %s Yr5'!I122="","",'Cash Flow %s Yr5'!I122*'Expenses Summary'!$H77))</f>
        <v>148.87353151670999</v>
      </c>
      <c r="J122" s="64">
        <f>IF('Expenses Summary'!$H77="","",IF('Cash Flow %s Yr5'!J122="","",'Cash Flow %s Yr5'!J122*'Expenses Summary'!$H77))</f>
        <v>148.87353151670999</v>
      </c>
      <c r="K122" s="64">
        <f>IF('Expenses Summary'!$H77="","",IF('Cash Flow %s Yr5'!K122="","",'Cash Flow %s Yr5'!K122*'Expenses Summary'!$H77))</f>
        <v>148.87353151670999</v>
      </c>
      <c r="L122" s="64">
        <f>IF('Expenses Summary'!$H77="","",IF('Cash Flow %s Yr5'!L122="","",'Cash Flow %s Yr5'!L122*'Expenses Summary'!$H77))</f>
        <v>148.87353151670999</v>
      </c>
      <c r="M122" s="64">
        <f>IF('Expenses Summary'!$H77="","",IF('Cash Flow %s Yr5'!M122="","",'Cash Flow %s Yr5'!M122*'Expenses Summary'!$H77))</f>
        <v>148.87353151670999</v>
      </c>
      <c r="N122" s="64">
        <f>IF('Expenses Summary'!$H77="","",IF('Cash Flow %s Yr5'!N122="","",'Cash Flow %s Yr5'!N122*'Expenses Summary'!$H77))</f>
        <v>148.87353151670999</v>
      </c>
      <c r="O122" s="64">
        <f>IF('Expenses Summary'!$H77="","",IF('Cash Flow %s Yr5'!O122="","",'Cash Flow %s Yr5'!O122*'Expenses Summary'!$H77))</f>
        <v>148.87353151670999</v>
      </c>
      <c r="P122" s="129"/>
      <c r="Q122" s="129"/>
      <c r="R122" s="129"/>
      <c r="S122" s="111">
        <f>IF(SUM(D122:R122)&gt;0,SUM(D122:R122)/'Expenses Summary'!$H77,"")</f>
        <v>1.0000000000000002</v>
      </c>
    </row>
    <row r="123" spans="1:19" s="31" customFormat="1" x14ac:dyDescent="0.2">
      <c r="A123" s="36"/>
      <c r="B123" s="139" t="str">
        <f>'Expenses Summary'!B78</f>
        <v>5610</v>
      </c>
      <c r="C123" s="139" t="str">
        <f>'Expenses Summary'!C78</f>
        <v>Equipment Repair</v>
      </c>
      <c r="D123" s="64">
        <f>IF('Expenses Summary'!$H78="","",IF('Cash Flow %s Yr5'!D123="","",'Cash Flow %s Yr5'!D123*'Expenses Summary'!$H78))</f>
        <v>64.785200430865189</v>
      </c>
      <c r="E123" s="64">
        <f>IF('Expenses Summary'!$H78="","",IF('Cash Flow %s Yr5'!E123="","",'Cash Flow %s Yr5'!E123*'Expenses Summary'!$H78))</f>
        <v>64.785200430865189</v>
      </c>
      <c r="F123" s="64">
        <f>IF('Expenses Summary'!$H78="","",IF('Cash Flow %s Yr5'!F123="","",'Cash Flow %s Yr5'!F123*'Expenses Summary'!$H78))</f>
        <v>64.785200430865189</v>
      </c>
      <c r="G123" s="64">
        <f>IF('Expenses Summary'!$H78="","",IF('Cash Flow %s Yr5'!G123="","",'Cash Flow %s Yr5'!G123*'Expenses Summary'!$H78))</f>
        <v>64.785200430865189</v>
      </c>
      <c r="H123" s="64">
        <f>IF('Expenses Summary'!$H78="","",IF('Cash Flow %s Yr5'!H123="","",'Cash Flow %s Yr5'!H123*'Expenses Summary'!$H78))</f>
        <v>64.785200430865189</v>
      </c>
      <c r="I123" s="64">
        <f>IF('Expenses Summary'!$H78="","",IF('Cash Flow %s Yr5'!I123="","",'Cash Flow %s Yr5'!I123*'Expenses Summary'!$H78))</f>
        <v>64.785200430865189</v>
      </c>
      <c r="J123" s="64">
        <f>IF('Expenses Summary'!$H78="","",IF('Cash Flow %s Yr5'!J123="","",'Cash Flow %s Yr5'!J123*'Expenses Summary'!$H78))</f>
        <v>64.785200430865189</v>
      </c>
      <c r="K123" s="64">
        <f>IF('Expenses Summary'!$H78="","",IF('Cash Flow %s Yr5'!K123="","",'Cash Flow %s Yr5'!K123*'Expenses Summary'!$H78))</f>
        <v>64.785200430865189</v>
      </c>
      <c r="L123" s="64">
        <f>IF('Expenses Summary'!$H78="","",IF('Cash Flow %s Yr5'!L123="","",'Cash Flow %s Yr5'!L123*'Expenses Summary'!$H78))</f>
        <v>65.565745014369597</v>
      </c>
      <c r="M123" s="64">
        <f>IF('Expenses Summary'!$H78="","",IF('Cash Flow %s Yr5'!M123="","",'Cash Flow %s Yr5'!M123*'Expenses Summary'!$H78))</f>
        <v>65.565745014369597</v>
      </c>
      <c r="N123" s="64">
        <f>IF('Expenses Summary'!$H78="","",IF('Cash Flow %s Yr5'!N123="","",'Cash Flow %s Yr5'!N123*'Expenses Summary'!$H78))</f>
        <v>65.565745014369597</v>
      </c>
      <c r="O123" s="64">
        <f>IF('Expenses Summary'!$H78="","",IF('Cash Flow %s Yr5'!O123="","",'Cash Flow %s Yr5'!O123*'Expenses Summary'!$H78))</f>
        <v>65.565745014369597</v>
      </c>
      <c r="P123" s="129"/>
      <c r="Q123" s="129"/>
      <c r="R123" s="129"/>
      <c r="S123" s="111">
        <f>IF(SUM(D123:R123)&gt;0,SUM(D123:R123)/'Expenses Summary'!$H78,"")</f>
        <v>0.99999999999999989</v>
      </c>
    </row>
    <row r="124" spans="1:19" s="31" customFormat="1" x14ac:dyDescent="0.2">
      <c r="A124" s="36"/>
      <c r="B124" s="139" t="str">
        <f>'Expenses Summary'!B79</f>
        <v>5800</v>
      </c>
      <c r="C124" s="139" t="str">
        <f>'Expenses Summary'!C79</f>
        <v>Professional/Consulting Services and Operating Expenditures</v>
      </c>
      <c r="D124" s="64">
        <f>IF('Expenses Summary'!$H79="","",IF('Cash Flow %s Yr5'!D124="","",'Cash Flow %s Yr5'!D124*'Expenses Summary'!$H79))</f>
        <v>2900.9459969811742</v>
      </c>
      <c r="E124" s="64">
        <f>IF('Expenses Summary'!$H79="","",IF('Cash Flow %s Yr5'!E124="","",'Cash Flow %s Yr5'!E124*'Expenses Summary'!$H79))</f>
        <v>2900.9459969811742</v>
      </c>
      <c r="F124" s="64">
        <f>IF('Expenses Summary'!$H79="","",IF('Cash Flow %s Yr5'!F124="","",'Cash Flow %s Yr5'!F124*'Expenses Summary'!$H79))</f>
        <v>5221.702794566113</v>
      </c>
      <c r="G124" s="64">
        <f>IF('Expenses Summary'!$H79="","",IF('Cash Flow %s Yr5'!G124="","",'Cash Flow %s Yr5'!G124*'Expenses Summary'!$H79))</f>
        <v>5221.702794566113</v>
      </c>
      <c r="H124" s="64">
        <f>IF('Expenses Summary'!$H79="","",IF('Cash Flow %s Yr5'!H124="","",'Cash Flow %s Yr5'!H124*'Expenses Summary'!$H79))</f>
        <v>5221.702794566113</v>
      </c>
      <c r="I124" s="64">
        <f>IF('Expenses Summary'!$H79="","",IF('Cash Flow %s Yr5'!I124="","",'Cash Flow %s Yr5'!I124*'Expenses Summary'!$H79))</f>
        <v>5221.702794566113</v>
      </c>
      <c r="J124" s="64">
        <f>IF('Expenses Summary'!$H79="","",IF('Cash Flow %s Yr5'!J124="","",'Cash Flow %s Yr5'!J124*'Expenses Summary'!$H79))</f>
        <v>5221.702794566113</v>
      </c>
      <c r="K124" s="64">
        <f>IF('Expenses Summary'!$H79="","",IF('Cash Flow %s Yr5'!K124="","",'Cash Flow %s Yr5'!K124*'Expenses Summary'!$H79))</f>
        <v>5221.702794566113</v>
      </c>
      <c r="L124" s="64">
        <f>IF('Expenses Summary'!$H79="","",IF('Cash Flow %s Yr5'!L124="","",'Cash Flow %s Yr5'!L124*'Expenses Summary'!$H79))</f>
        <v>5221.702794566113</v>
      </c>
      <c r="M124" s="64">
        <f>IF('Expenses Summary'!$H79="","",IF('Cash Flow %s Yr5'!M124="","",'Cash Flow %s Yr5'!M124*'Expenses Summary'!$H79))</f>
        <v>5221.702794566113</v>
      </c>
      <c r="N124" s="64">
        <f>IF('Expenses Summary'!$H79="","",IF('Cash Flow %s Yr5'!N124="","",'Cash Flow %s Yr5'!N124*'Expenses Summary'!$H79))</f>
        <v>5221.702794566113</v>
      </c>
      <c r="O124" s="64">
        <f>IF('Expenses Summary'!$H79="","",IF('Cash Flow %s Yr5'!O124="","",'Cash Flow %s Yr5'!O124*'Expenses Summary'!$H79))</f>
        <v>5221.702794566113</v>
      </c>
      <c r="P124" s="129"/>
      <c r="Q124" s="129"/>
      <c r="R124" s="129"/>
      <c r="S124" s="111">
        <f>IF(SUM(D124:R124)&gt;0,SUM(D124:R124)/'Expenses Summary'!$H79,"")</f>
        <v>0.99999999999999978</v>
      </c>
    </row>
    <row r="125" spans="1:19" s="31" customFormat="1" x14ac:dyDescent="0.2">
      <c r="A125" s="36"/>
      <c r="B125" s="139" t="str">
        <f>'Expenses Summary'!B80</f>
        <v>5803</v>
      </c>
      <c r="C125" s="139" t="str">
        <f>'Expenses Summary'!C80</f>
        <v>Banking and Payroll Service Fees</v>
      </c>
      <c r="D125" s="64">
        <f>IF('Expenses Summary'!$H80="","",IF('Cash Flow %s Yr5'!D125="","",'Cash Flow %s Yr5'!D125*'Expenses Summary'!$H80))</f>
        <v>133.90943943126749</v>
      </c>
      <c r="E125" s="64">
        <f>IF('Expenses Summary'!$H80="","",IF('Cash Flow %s Yr5'!E125="","",'Cash Flow %s Yr5'!E125*'Expenses Summary'!$H80))</f>
        <v>133.90943943126749</v>
      </c>
      <c r="F125" s="64">
        <f>IF('Expenses Summary'!$H80="","",IF('Cash Flow %s Yr5'!F125="","",'Cash Flow %s Yr5'!F125*'Expenses Summary'!$H80))</f>
        <v>241.03699097628143</v>
      </c>
      <c r="G125" s="64">
        <f>IF('Expenses Summary'!$H80="","",IF('Cash Flow %s Yr5'!G125="","",'Cash Flow %s Yr5'!G125*'Expenses Summary'!$H80))</f>
        <v>241.03699097628143</v>
      </c>
      <c r="H125" s="64">
        <f>IF('Expenses Summary'!$H80="","",IF('Cash Flow %s Yr5'!H125="","",'Cash Flow %s Yr5'!H125*'Expenses Summary'!$H80))</f>
        <v>241.03699097628143</v>
      </c>
      <c r="I125" s="64">
        <f>IF('Expenses Summary'!$H80="","",IF('Cash Flow %s Yr5'!I125="","",'Cash Flow %s Yr5'!I125*'Expenses Summary'!$H80))</f>
        <v>241.03699097628143</v>
      </c>
      <c r="J125" s="64">
        <f>IF('Expenses Summary'!$H80="","",IF('Cash Flow %s Yr5'!J125="","",'Cash Flow %s Yr5'!J125*'Expenses Summary'!$H80))</f>
        <v>241.03699097628143</v>
      </c>
      <c r="K125" s="64">
        <f>IF('Expenses Summary'!$H80="","",IF('Cash Flow %s Yr5'!K125="","",'Cash Flow %s Yr5'!K125*'Expenses Summary'!$H80))</f>
        <v>241.03699097628143</v>
      </c>
      <c r="L125" s="64">
        <f>IF('Expenses Summary'!$H80="","",IF('Cash Flow %s Yr5'!L125="","",'Cash Flow %s Yr5'!L125*'Expenses Summary'!$H80))</f>
        <v>241.03699097628143</v>
      </c>
      <c r="M125" s="64">
        <f>IF('Expenses Summary'!$H80="","",IF('Cash Flow %s Yr5'!M125="","",'Cash Flow %s Yr5'!M125*'Expenses Summary'!$H80))</f>
        <v>241.03699097628143</v>
      </c>
      <c r="N125" s="64">
        <f>IF('Expenses Summary'!$H80="","",IF('Cash Flow %s Yr5'!N125="","",'Cash Flow %s Yr5'!N125*'Expenses Summary'!$H80))</f>
        <v>241.03699097628143</v>
      </c>
      <c r="O125" s="64">
        <f>IF('Expenses Summary'!$H80="","",IF('Cash Flow %s Yr5'!O125="","",'Cash Flow %s Yr5'!O125*'Expenses Summary'!$H80))</f>
        <v>241.03699097628143</v>
      </c>
      <c r="P125" s="129"/>
      <c r="Q125" s="129"/>
      <c r="R125" s="129"/>
      <c r="S125" s="111">
        <f>IF(SUM(D125:R125)&gt;0,SUM(D125:R125)/'Expenses Summary'!$H80,"")</f>
        <v>0.99999999999999978</v>
      </c>
    </row>
    <row r="126" spans="1:19" s="31" customFormat="1" x14ac:dyDescent="0.2">
      <c r="A126" s="36"/>
      <c r="B126" s="139" t="str">
        <f>'Expenses Summary'!B81</f>
        <v>5805</v>
      </c>
      <c r="C126" s="139" t="str">
        <f>'Expenses Summary'!C81</f>
        <v>Legal Services and Audit</v>
      </c>
      <c r="D126" s="64">
        <f>IF('Expenses Summary'!$H81="","",IF('Cash Flow %s Yr5'!D126="","",'Cash Flow %s Yr5'!D126*'Expenses Summary'!$H81))</f>
        <v>0</v>
      </c>
      <c r="E126" s="64">
        <f>IF('Expenses Summary'!$H81="","",IF('Cash Flow %s Yr5'!E126="","",'Cash Flow %s Yr5'!E126*'Expenses Summary'!$H81))</f>
        <v>0</v>
      </c>
      <c r="F126" s="64">
        <f>IF('Expenses Summary'!$H81="","",IF('Cash Flow %s Yr5'!F126="","",'Cash Flow %s Yr5'!F126*'Expenses Summary'!$H81))</f>
        <v>0</v>
      </c>
      <c r="G126" s="64">
        <f>IF('Expenses Summary'!$H81="","",IF('Cash Flow %s Yr5'!G126="","",'Cash Flow %s Yr5'!G126*'Expenses Summary'!$H81))</f>
        <v>0</v>
      </c>
      <c r="H126" s="64">
        <f>IF('Expenses Summary'!$H81="","",IF('Cash Flow %s Yr5'!H126="","",'Cash Flow %s Yr5'!H126*'Expenses Summary'!$H81))</f>
        <v>1151.0840065724999</v>
      </c>
      <c r="I126" s="64">
        <f>IF('Expenses Summary'!$H81="","",IF('Cash Flow %s Yr5'!I126="","",'Cash Flow %s Yr5'!I126*'Expenses Summary'!$H81))</f>
        <v>1151.0840065724999</v>
      </c>
      <c r="J126" s="64">
        <f>IF('Expenses Summary'!$H81="","",IF('Cash Flow %s Yr5'!J126="","",'Cash Flow %s Yr5'!J126*'Expenses Summary'!$H81))</f>
        <v>1151.0840065724999</v>
      </c>
      <c r="K126" s="64">
        <f>IF('Expenses Summary'!$H81="","",IF('Cash Flow %s Yr5'!K126="","",'Cash Flow %s Yr5'!K126*'Expenses Summary'!$H81))</f>
        <v>1151.0840065724999</v>
      </c>
      <c r="L126" s="64">
        <f>IF('Expenses Summary'!$H81="","",IF('Cash Flow %s Yr5'!L126="","",'Cash Flow %s Yr5'!L126*'Expenses Summary'!$H81))</f>
        <v>1151.0840065724999</v>
      </c>
      <c r="M126" s="64">
        <f>IF('Expenses Summary'!$H81="","",IF('Cash Flow %s Yr5'!M126="","",'Cash Flow %s Yr5'!M126*'Expenses Summary'!$H81))</f>
        <v>1151.0840065724999</v>
      </c>
      <c r="N126" s="64">
        <f>IF('Expenses Summary'!$H81="","",IF('Cash Flow %s Yr5'!N126="","",'Cash Flow %s Yr5'!N126*'Expenses Summary'!$H81))</f>
        <v>1151.0840065724999</v>
      </c>
      <c r="O126" s="64">
        <f>IF('Expenses Summary'!$H81="","",IF('Cash Flow %s Yr5'!O126="","",'Cash Flow %s Yr5'!O126*'Expenses Summary'!$H81))</f>
        <v>1151.0840065724999</v>
      </c>
      <c r="P126" s="129"/>
      <c r="Q126" s="129"/>
      <c r="R126" s="129"/>
      <c r="S126" s="111">
        <f>IF(SUM(D126:R126)&gt;0,SUM(D126:R126)/'Expenses Summary'!$H81,"")</f>
        <v>1</v>
      </c>
    </row>
    <row r="127" spans="1:19" s="31" customFormat="1" x14ac:dyDescent="0.2">
      <c r="A127" s="36"/>
      <c r="B127" s="139" t="str">
        <f>'Expenses Summary'!B82</f>
        <v>5810</v>
      </c>
      <c r="C127" s="139" t="str">
        <f>'Expenses Summary'!C82</f>
        <v>Educational Consultants</v>
      </c>
      <c r="D127" s="64">
        <f>IF('Expenses Summary'!$H82="","",IF('Cash Flow %s Yr5'!D127="","",'Cash Flow %s Yr5'!D127*'Expenses Summary'!$H82))</f>
        <v>1646.8560712739848</v>
      </c>
      <c r="E127" s="64">
        <f>IF('Expenses Summary'!$H82="","",IF('Cash Flow %s Yr5'!E127="","",'Cash Flow %s Yr5'!E127*'Expenses Summary'!$H82))</f>
        <v>1646.8560712739848</v>
      </c>
      <c r="F127" s="64">
        <f>IF('Expenses Summary'!$H82="","",IF('Cash Flow %s Yr5'!F127="","",'Cash Flow %s Yr5'!F127*'Expenses Summary'!$H82))</f>
        <v>2964.3409282931725</v>
      </c>
      <c r="G127" s="64">
        <f>IF('Expenses Summary'!$H82="","",IF('Cash Flow %s Yr5'!G127="","",'Cash Flow %s Yr5'!G127*'Expenses Summary'!$H82))</f>
        <v>2964.3409282931725</v>
      </c>
      <c r="H127" s="64">
        <f>IF('Expenses Summary'!$H82="","",IF('Cash Flow %s Yr5'!H127="","",'Cash Flow %s Yr5'!H127*'Expenses Summary'!$H82))</f>
        <v>2964.3409282931725</v>
      </c>
      <c r="I127" s="64">
        <f>IF('Expenses Summary'!$H82="","",IF('Cash Flow %s Yr5'!I127="","",'Cash Flow %s Yr5'!I127*'Expenses Summary'!$H82))</f>
        <v>2964.3409282931725</v>
      </c>
      <c r="J127" s="64">
        <f>IF('Expenses Summary'!$H82="","",IF('Cash Flow %s Yr5'!J127="","",'Cash Flow %s Yr5'!J127*'Expenses Summary'!$H82))</f>
        <v>2964.3409282931725</v>
      </c>
      <c r="K127" s="64">
        <f>IF('Expenses Summary'!$H82="","",IF('Cash Flow %s Yr5'!K127="","",'Cash Flow %s Yr5'!K127*'Expenses Summary'!$H82))</f>
        <v>2964.3409282931725</v>
      </c>
      <c r="L127" s="64">
        <f>IF('Expenses Summary'!$H82="","",IF('Cash Flow %s Yr5'!L127="","",'Cash Flow %s Yr5'!L127*'Expenses Summary'!$H82))</f>
        <v>2964.3409282931725</v>
      </c>
      <c r="M127" s="64">
        <f>IF('Expenses Summary'!$H82="","",IF('Cash Flow %s Yr5'!M127="","",'Cash Flow %s Yr5'!M127*'Expenses Summary'!$H82))</f>
        <v>2964.3409282931725</v>
      </c>
      <c r="N127" s="64">
        <f>IF('Expenses Summary'!$H82="","",IF('Cash Flow %s Yr5'!N127="","",'Cash Flow %s Yr5'!N127*'Expenses Summary'!$H82))</f>
        <v>2964.3409282931725</v>
      </c>
      <c r="O127" s="64">
        <f>IF('Expenses Summary'!$H82="","",IF('Cash Flow %s Yr5'!O127="","",'Cash Flow %s Yr5'!O127*'Expenses Summary'!$H82))</f>
        <v>2964.3409282931725</v>
      </c>
      <c r="P127" s="129"/>
      <c r="Q127" s="129"/>
      <c r="R127" s="129"/>
      <c r="S127" s="111">
        <f>IF(SUM(D127:R127)&gt;0,SUM(D127:R127)/'Expenses Summary'!$H82,"")</f>
        <v>0.99999999999999978</v>
      </c>
    </row>
    <row r="128" spans="1:19" s="31" customFormat="1" x14ac:dyDescent="0.2">
      <c r="A128" s="36"/>
      <c r="B128" s="139" t="str">
        <f>'Expenses Summary'!B83</f>
        <v>5815</v>
      </c>
      <c r="C128" s="139" t="str">
        <f>'Expenses Summary'!C83</f>
        <v>Advertising / Recruiting</v>
      </c>
      <c r="D128" s="64">
        <f>IF('Expenses Summary'!$H83="","",IF('Cash Flow %s Yr5'!D128="","",'Cash Flow %s Yr5'!D128*'Expenses Summary'!$H83))</f>
        <v>0</v>
      </c>
      <c r="E128" s="64">
        <f>IF('Expenses Summary'!$H83="","",IF('Cash Flow %s Yr5'!E128="","",'Cash Flow %s Yr5'!E128*'Expenses Summary'!$H83))</f>
        <v>0</v>
      </c>
      <c r="F128" s="64">
        <f>IF('Expenses Summary'!$H83="","",IF('Cash Flow %s Yr5'!F128="","",'Cash Flow %s Yr5'!F128*'Expenses Summary'!$H83))</f>
        <v>64.899212561039988</v>
      </c>
      <c r="G128" s="64">
        <f>IF('Expenses Summary'!$H83="","",IF('Cash Flow %s Yr5'!G128="","",'Cash Flow %s Yr5'!G128*'Expenses Summary'!$H83))</f>
        <v>64.899212561039988</v>
      </c>
      <c r="H128" s="64">
        <f>IF('Expenses Summary'!$H83="","",IF('Cash Flow %s Yr5'!H128="","",'Cash Flow %s Yr5'!H128*'Expenses Summary'!$H83))</f>
        <v>64.899212561039988</v>
      </c>
      <c r="I128" s="64">
        <f>IF('Expenses Summary'!$H83="","",IF('Cash Flow %s Yr5'!I128="","",'Cash Flow %s Yr5'!I128*'Expenses Summary'!$H83))</f>
        <v>64.899212561039988</v>
      </c>
      <c r="J128" s="64">
        <f>IF('Expenses Summary'!$H83="","",IF('Cash Flow %s Yr5'!J128="","",'Cash Flow %s Yr5'!J128*'Expenses Summary'!$H83))</f>
        <v>64.899212561039988</v>
      </c>
      <c r="K128" s="64">
        <f>IF('Expenses Summary'!$H83="","",IF('Cash Flow %s Yr5'!K128="","",'Cash Flow %s Yr5'!K128*'Expenses Summary'!$H83))</f>
        <v>64.899212561039988</v>
      </c>
      <c r="L128" s="64">
        <f>IF('Expenses Summary'!$H83="","",IF('Cash Flow %s Yr5'!L128="","",'Cash Flow %s Yr5'!L128*'Expenses Summary'!$H83))</f>
        <v>64.899212561039988</v>
      </c>
      <c r="M128" s="64">
        <f>IF('Expenses Summary'!$H83="","",IF('Cash Flow %s Yr5'!M128="","",'Cash Flow %s Yr5'!M128*'Expenses Summary'!$H83))</f>
        <v>64.899212561039988</v>
      </c>
      <c r="N128" s="64">
        <f>IF('Expenses Summary'!$H83="","",IF('Cash Flow %s Yr5'!N128="","",'Cash Flow %s Yr5'!N128*'Expenses Summary'!$H83))</f>
        <v>64.899212561039988</v>
      </c>
      <c r="O128" s="64">
        <f>IF('Expenses Summary'!$H83="","",IF('Cash Flow %s Yr5'!O128="","",'Cash Flow %s Yr5'!O128*'Expenses Summary'!$H83))</f>
        <v>64.899212561039988</v>
      </c>
      <c r="P128" s="129"/>
      <c r="Q128" s="129"/>
      <c r="R128" s="129"/>
      <c r="S128" s="111">
        <f>IF(SUM(D128:R128)&gt;0,SUM(D128:R128)/'Expenses Summary'!$H83,"")</f>
        <v>1.0000000000000002</v>
      </c>
    </row>
    <row r="129" spans="1:19" s="31" customFormat="1" x14ac:dyDescent="0.2">
      <c r="A129" s="36"/>
      <c r="B129" s="139" t="str">
        <f>'Expenses Summary'!B84</f>
        <v>5820</v>
      </c>
      <c r="C129" s="139" t="str">
        <f>'Expenses Summary'!C84</f>
        <v>Fundraising Expense</v>
      </c>
      <c r="D129" s="64">
        <f>IF('Expenses Summary'!$H84="","",IF('Cash Flow %s Yr5'!D129="","",'Cash Flow %s Yr5'!D129*'Expenses Summary'!$H84))</f>
        <v>0</v>
      </c>
      <c r="E129" s="64">
        <f>IF('Expenses Summary'!$H84="","",IF('Cash Flow %s Yr5'!E129="","",'Cash Flow %s Yr5'!E129*'Expenses Summary'!$H84))</f>
        <v>0</v>
      </c>
      <c r="F129" s="64">
        <f>IF('Expenses Summary'!$H84="","",IF('Cash Flow %s Yr5'!F129="","",'Cash Flow %s Yr5'!F129*'Expenses Summary'!$H84))</f>
        <v>4331.1454220634587</v>
      </c>
      <c r="G129" s="64">
        <f>IF('Expenses Summary'!$H84="","",IF('Cash Flow %s Yr5'!G129="","",'Cash Flow %s Yr5'!G129*'Expenses Summary'!$H84))</f>
        <v>4331.1454220634587</v>
      </c>
      <c r="H129" s="64">
        <f>IF('Expenses Summary'!$H84="","",IF('Cash Flow %s Yr5'!H129="","",'Cash Flow %s Yr5'!H129*'Expenses Summary'!$H84))</f>
        <v>4331.1454220634587</v>
      </c>
      <c r="I129" s="64">
        <f>IF('Expenses Summary'!$H84="","",IF('Cash Flow %s Yr5'!I129="","",'Cash Flow %s Yr5'!I129*'Expenses Summary'!$H84))</f>
        <v>4331.1454220634587</v>
      </c>
      <c r="J129" s="64">
        <f>IF('Expenses Summary'!$H84="","",IF('Cash Flow %s Yr5'!J129="","",'Cash Flow %s Yr5'!J129*'Expenses Summary'!$H84))</f>
        <v>4331.1454220634587</v>
      </c>
      <c r="K129" s="64">
        <f>IF('Expenses Summary'!$H84="","",IF('Cash Flow %s Yr5'!K129="","",'Cash Flow %s Yr5'!K129*'Expenses Summary'!$H84))</f>
        <v>4331.1454220634587</v>
      </c>
      <c r="L129" s="64">
        <f>IF('Expenses Summary'!$H84="","",IF('Cash Flow %s Yr5'!L129="","",'Cash Flow %s Yr5'!L129*'Expenses Summary'!$H84))</f>
        <v>4331.1454220634587</v>
      </c>
      <c r="M129" s="64">
        <f>IF('Expenses Summary'!$H84="","",IF('Cash Flow %s Yr5'!M129="","",'Cash Flow %s Yr5'!M129*'Expenses Summary'!$H84))</f>
        <v>4331.1454220634587</v>
      </c>
      <c r="N129" s="64">
        <f>IF('Expenses Summary'!$H84="","",IF('Cash Flow %s Yr5'!N129="","",'Cash Flow %s Yr5'!N129*'Expenses Summary'!$H84))</f>
        <v>4331.1454220634587</v>
      </c>
      <c r="O129" s="64">
        <f>IF('Expenses Summary'!$H84="","",IF('Cash Flow %s Yr5'!O129="","",'Cash Flow %s Yr5'!O129*'Expenses Summary'!$H84))</f>
        <v>4331.1454220634587</v>
      </c>
      <c r="P129" s="129"/>
      <c r="Q129" s="129"/>
      <c r="R129" s="129"/>
      <c r="S129" s="111">
        <f>IF(SUM(D129:R129)&gt;0,SUM(D129:R129)/'Expenses Summary'!$H84,"")</f>
        <v>1.0000000000000002</v>
      </c>
    </row>
    <row r="130" spans="1:19" s="31" customFormat="1" x14ac:dyDescent="0.2">
      <c r="A130" s="36"/>
      <c r="B130" s="139" t="str">
        <f>'Expenses Summary'!B85</f>
        <v>5875</v>
      </c>
      <c r="C130" s="139" t="str">
        <f>'Expenses Summary'!C85</f>
        <v>District Oversight Fee</v>
      </c>
      <c r="D130" s="64">
        <f>IF('Expenses Summary'!$H85="","",IF('Cash Flow %s Yr5'!D130="","",'Cash Flow %s Yr5'!D130*'Expenses Summary'!$H85))</f>
        <v>2257.4232743397738</v>
      </c>
      <c r="E130" s="64">
        <f>IF('Expenses Summary'!$H85="","",IF('Cash Flow %s Yr5'!E130="","",'Cash Flow %s Yr5'!E130*'Expenses Summary'!$H85))</f>
        <v>0</v>
      </c>
      <c r="F130" s="64">
        <f>IF('Expenses Summary'!$H85="","",IF('Cash Flow %s Yr5'!F130="","",'Cash Flow %s Yr5'!F130*'Expenses Summary'!$H85))</f>
        <v>0</v>
      </c>
      <c r="G130" s="64">
        <f>IF('Expenses Summary'!$H85="","",IF('Cash Flow %s Yr5'!G130="","",'Cash Flow %s Yr5'!G130*'Expenses Summary'!$H85))</f>
        <v>0</v>
      </c>
      <c r="H130" s="64">
        <f>IF('Expenses Summary'!$H85="","",IF('Cash Flow %s Yr5'!H130="","",'Cash Flow %s Yr5'!H130*'Expenses Summary'!$H85))</f>
        <v>1754.5183438510464</v>
      </c>
      <c r="I130" s="64">
        <f>IF('Expenses Summary'!$H85="","",IF('Cash Flow %s Yr5'!I130="","",'Cash Flow %s Yr5'!I130*'Expenses Summary'!$H85))</f>
        <v>0</v>
      </c>
      <c r="J130" s="64">
        <f>IF('Expenses Summary'!$H85="","",IF('Cash Flow %s Yr5'!J130="","",'Cash Flow %s Yr5'!J130*'Expenses Summary'!$H85))</f>
        <v>2755.6415761779681</v>
      </c>
      <c r="K130" s="64">
        <f>IF('Expenses Summary'!$H85="","",IF('Cash Flow %s Yr5'!K130="","",'Cash Flow %s Yr5'!K130*'Expenses Summary'!$H85))</f>
        <v>0</v>
      </c>
      <c r="L130" s="64">
        <f>IF('Expenses Summary'!$H85="","",IF('Cash Flow %s Yr5'!L130="","",'Cash Flow %s Yr5'!L130*'Expenses Summary'!$H85))</f>
        <v>0</v>
      </c>
      <c r="M130" s="64">
        <f>IF('Expenses Summary'!$H85="","",IF('Cash Flow %s Yr5'!M130="","",'Cash Flow %s Yr5'!M130*'Expenses Summary'!$H85))</f>
        <v>2755.6415761779681</v>
      </c>
      <c r="N130" s="64">
        <f>IF('Expenses Summary'!$H85="","",IF('Cash Flow %s Yr5'!N130="","",'Cash Flow %s Yr5'!N130*'Expenses Summary'!$H85))</f>
        <v>0</v>
      </c>
      <c r="O130" s="64">
        <f>IF('Expenses Summary'!$H85="","",IF('Cash Flow %s Yr5'!O130="","",'Cash Flow %s Yr5'!O130*'Expenses Summary'!$H85))</f>
        <v>0</v>
      </c>
      <c r="P130" s="129"/>
      <c r="Q130" s="129"/>
      <c r="R130" s="129"/>
      <c r="S130" s="111">
        <f>IF(SUM(D130:R130)&gt;0,SUM(D130:R130)/'Expenses Summary'!$H85,"")</f>
        <v>0.99999954399999991</v>
      </c>
    </row>
    <row r="131" spans="1:19" s="31" customFormat="1" x14ac:dyDescent="0.2">
      <c r="A131" s="36"/>
      <c r="B131" s="139" t="str">
        <f>'Expenses Summary'!B86</f>
        <v>5890</v>
      </c>
      <c r="C131" s="139" t="str">
        <f>'Expenses Summary'!C86</f>
        <v>Interest Expense / Misc. Fees</v>
      </c>
      <c r="D131" s="64">
        <f>IF('Expenses Summary'!$H86="","",IF('Cash Flow %s Yr5'!D131="","",'Cash Flow %s Yr5'!D131*'Expenses Summary'!$H86))</f>
        <v>25.212758671526405</v>
      </c>
      <c r="E131" s="64">
        <f>IF('Expenses Summary'!$H86="","",IF('Cash Flow %s Yr5'!E131="","",'Cash Flow %s Yr5'!E131*'Expenses Summary'!$H86))</f>
        <v>25.212758671526405</v>
      </c>
      <c r="F131" s="64">
        <f>IF('Expenses Summary'!$H86="","",IF('Cash Flow %s Yr5'!F131="","",'Cash Flow %s Yr5'!F131*'Expenses Summary'!$H86))</f>
        <v>25.212758671526405</v>
      </c>
      <c r="G131" s="64">
        <f>IF('Expenses Summary'!$H86="","",IF('Cash Flow %s Yr5'!G131="","",'Cash Flow %s Yr5'!G131*'Expenses Summary'!$H86))</f>
        <v>25.212758671526405</v>
      </c>
      <c r="H131" s="64">
        <f>IF('Expenses Summary'!$H86="","",IF('Cash Flow %s Yr5'!H131="","",'Cash Flow %s Yr5'!H131*'Expenses Summary'!$H86))</f>
        <v>25.212758671526405</v>
      </c>
      <c r="I131" s="64">
        <f>IF('Expenses Summary'!$H86="","",IF('Cash Flow %s Yr5'!I131="","",'Cash Flow %s Yr5'!I131*'Expenses Summary'!$H86))</f>
        <v>25.212758671526405</v>
      </c>
      <c r="J131" s="64">
        <f>IF('Expenses Summary'!$H86="","",IF('Cash Flow %s Yr5'!J131="","",'Cash Flow %s Yr5'!J131*'Expenses Summary'!$H86))</f>
        <v>25.212758671526405</v>
      </c>
      <c r="K131" s="64">
        <f>IF('Expenses Summary'!$H86="","",IF('Cash Flow %s Yr5'!K131="","",'Cash Flow %s Yr5'!K131*'Expenses Summary'!$H86))</f>
        <v>25.212758671526405</v>
      </c>
      <c r="L131" s="64">
        <f>IF('Expenses Summary'!$H86="","",IF('Cash Flow %s Yr5'!L131="","",'Cash Flow %s Yr5'!L131*'Expenses Summary'!$H86))</f>
        <v>25.212758671526405</v>
      </c>
      <c r="M131" s="64">
        <f>IF('Expenses Summary'!$H86="","",IF('Cash Flow %s Yr5'!M131="","",'Cash Flow %s Yr5'!M131*'Expenses Summary'!$H86))</f>
        <v>25.212758671526405</v>
      </c>
      <c r="N131" s="64">
        <f>IF('Expenses Summary'!$H86="","",IF('Cash Flow %s Yr5'!N131="","",'Cash Flow %s Yr5'!N131*'Expenses Summary'!$H86))</f>
        <v>25.212758671526405</v>
      </c>
      <c r="O131" s="64">
        <f>IF('Expenses Summary'!$H86="","",IF('Cash Flow %s Yr5'!O131="","",'Cash Flow %s Yr5'!O131*'Expenses Summary'!$H86))</f>
        <v>25.230156484082887</v>
      </c>
      <c r="P131" s="129"/>
      <c r="Q131" s="129"/>
      <c r="R131" s="129"/>
      <c r="S131" s="111">
        <f>IF(SUM(D131:R131)&gt;0,SUM(D131:R131)/'Expenses Summary'!$H86,"")</f>
        <v>0.99999950000000015</v>
      </c>
    </row>
    <row r="132" spans="1:19" s="31" customFormat="1" x14ac:dyDescent="0.2">
      <c r="A132" s="36"/>
      <c r="B132" s="139" t="str">
        <f>'Expenses Summary'!B87</f>
        <v>5891</v>
      </c>
      <c r="C132" s="139" t="str">
        <f>'Expenses Summary'!C87</f>
        <v>Charter School Capital Fees</v>
      </c>
      <c r="D132" s="64">
        <f>IF('Expenses Summary'!$H87="","",IF('Cash Flow %s Yr5'!D132="","",'Cash Flow %s Yr5'!D132*'Expenses Summary'!$H87))</f>
        <v>0</v>
      </c>
      <c r="E132" s="64">
        <f>IF('Expenses Summary'!$H87="","",IF('Cash Flow %s Yr5'!E132="","",'Cash Flow %s Yr5'!E132*'Expenses Summary'!$H87))</f>
        <v>0</v>
      </c>
      <c r="F132" s="64">
        <f>IF('Expenses Summary'!$H87="","",IF('Cash Flow %s Yr5'!F132="","",'Cash Flow %s Yr5'!F132*'Expenses Summary'!$H87))</f>
        <v>0</v>
      </c>
      <c r="G132" s="64">
        <f>IF('Expenses Summary'!$H87="","",IF('Cash Flow %s Yr5'!G132="","",'Cash Flow %s Yr5'!G132*'Expenses Summary'!$H87))</f>
        <v>0</v>
      </c>
      <c r="H132" s="64">
        <f>IF('Expenses Summary'!$H87="","",IF('Cash Flow %s Yr5'!H132="","",'Cash Flow %s Yr5'!H132*'Expenses Summary'!$H87))</f>
        <v>0</v>
      </c>
      <c r="I132" s="64">
        <f>IF('Expenses Summary'!$H87="","",IF('Cash Flow %s Yr5'!I132="","",'Cash Flow %s Yr5'!I132*'Expenses Summary'!$H87))</f>
        <v>0</v>
      </c>
      <c r="J132" s="64">
        <f>IF('Expenses Summary'!$H87="","",IF('Cash Flow %s Yr5'!J132="","",'Cash Flow %s Yr5'!J132*'Expenses Summary'!$H87))</f>
        <v>0</v>
      </c>
      <c r="K132" s="64">
        <f>IF('Expenses Summary'!$H87="","",IF('Cash Flow %s Yr5'!K132="","",'Cash Flow %s Yr5'!K132*'Expenses Summary'!$H87))</f>
        <v>0</v>
      </c>
      <c r="L132" s="64">
        <f>IF('Expenses Summary'!$H87="","",IF('Cash Flow %s Yr5'!L132="","",'Cash Flow %s Yr5'!L132*'Expenses Summary'!$H87))</f>
        <v>0</v>
      </c>
      <c r="M132" s="64">
        <f>IF('Expenses Summary'!$H87="","",IF('Cash Flow %s Yr5'!M132="","",'Cash Flow %s Yr5'!M132*'Expenses Summary'!$H87))</f>
        <v>0</v>
      </c>
      <c r="N132" s="64">
        <f>IF('Expenses Summary'!$H87="","",IF('Cash Flow %s Yr5'!N132="","",'Cash Flow %s Yr5'!N132*'Expenses Summary'!$H87))</f>
        <v>0</v>
      </c>
      <c r="O132" s="64">
        <f>IF('Expenses Summary'!$H87="","",IF('Cash Flow %s Yr5'!O132="","",'Cash Flow %s Yr5'!O132*'Expenses Summary'!$H87))</f>
        <v>0</v>
      </c>
      <c r="P132" s="129"/>
      <c r="Q132" s="129"/>
      <c r="R132" s="129"/>
      <c r="S132" s="111" t="str">
        <f>IF(SUM(D132:R132)&gt;0,SUM(D132:R132)/'Expenses Summary'!$H87,"")</f>
        <v/>
      </c>
    </row>
    <row r="133" spans="1:19" s="31" customFormat="1" hidden="1" outlineLevel="1" x14ac:dyDescent="0.2">
      <c r="A133" s="36"/>
      <c r="B133" s="139" t="str">
        <f>'Expenses Summary'!B88</f>
        <v>5899</v>
      </c>
      <c r="C133" s="139" t="str">
        <f>'Expenses Summary'!C88</f>
        <v>CMO Management Fee</v>
      </c>
      <c r="D133" s="64">
        <f>IF('Expenses Summary'!$H88="","",IF('Cash Flow %s Yr5'!D133="","",'Cash Flow %s Yr5'!D133*'Expenses Summary'!$H88))</f>
        <v>0</v>
      </c>
      <c r="E133" s="64">
        <f>IF('Expenses Summary'!$H88="","",IF('Cash Flow %s Yr5'!E133="","",'Cash Flow %s Yr5'!E133*'Expenses Summary'!$H88))</f>
        <v>0</v>
      </c>
      <c r="F133" s="64">
        <f>IF('Expenses Summary'!$H88="","",IF('Cash Flow %s Yr5'!F133="","",'Cash Flow %s Yr5'!F133*'Expenses Summary'!$H88))</f>
        <v>0</v>
      </c>
      <c r="G133" s="64">
        <f>IF('Expenses Summary'!$H88="","",IF('Cash Flow %s Yr5'!G133="","",'Cash Flow %s Yr5'!G133*'Expenses Summary'!$H88))</f>
        <v>0</v>
      </c>
      <c r="H133" s="64">
        <f>IF('Expenses Summary'!$H88="","",IF('Cash Flow %s Yr5'!H133="","",'Cash Flow %s Yr5'!H133*'Expenses Summary'!$H88))</f>
        <v>0</v>
      </c>
      <c r="I133" s="64">
        <f>IF('Expenses Summary'!$H88="","",IF('Cash Flow %s Yr5'!I133="","",'Cash Flow %s Yr5'!I133*'Expenses Summary'!$H88))</f>
        <v>0</v>
      </c>
      <c r="J133" s="64">
        <f>IF('Expenses Summary'!$H88="","",IF('Cash Flow %s Yr5'!J133="","",'Cash Flow %s Yr5'!J133*'Expenses Summary'!$H88))</f>
        <v>0</v>
      </c>
      <c r="K133" s="64">
        <f>IF('Expenses Summary'!$H88="","",IF('Cash Flow %s Yr5'!K133="","",'Cash Flow %s Yr5'!K133*'Expenses Summary'!$H88))</f>
        <v>0</v>
      </c>
      <c r="L133" s="64">
        <f>IF('Expenses Summary'!$H88="","",IF('Cash Flow %s Yr5'!L133="","",'Cash Flow %s Yr5'!L133*'Expenses Summary'!$H88))</f>
        <v>0</v>
      </c>
      <c r="M133" s="64">
        <f>IF('Expenses Summary'!$H88="","",IF('Cash Flow %s Yr5'!M133="","",'Cash Flow %s Yr5'!M133*'Expenses Summary'!$H88))</f>
        <v>0</v>
      </c>
      <c r="N133" s="64">
        <f>IF('Expenses Summary'!$H88="","",IF('Cash Flow %s Yr5'!N133="","",'Cash Flow %s Yr5'!N133*'Expenses Summary'!$H88))</f>
        <v>0</v>
      </c>
      <c r="O133" s="64">
        <f>IF('Expenses Summary'!$H88="","",IF('Cash Flow %s Yr5'!O133="","",'Cash Flow %s Yr5'!O133*'Expenses Summary'!$H88))</f>
        <v>0</v>
      </c>
      <c r="P133" s="129"/>
      <c r="Q133" s="129"/>
      <c r="R133" s="129"/>
      <c r="S133" s="111"/>
    </row>
    <row r="134" spans="1:19" s="31" customFormat="1" hidden="1" outlineLevel="1" x14ac:dyDescent="0.2">
      <c r="A134" s="36"/>
      <c r="B134" s="139" t="str">
        <f>'Expenses Summary'!B89</f>
        <v>5900</v>
      </c>
      <c r="C134" s="139" t="str">
        <f>'Expenses Summary'!C89</f>
        <v>Communications</v>
      </c>
      <c r="D134" s="64">
        <f>IF('Expenses Summary'!$H89="","",IF('Cash Flow %s Yr5'!D134="","",'Cash Flow %s Yr5'!D134*'Expenses Summary'!$H89))</f>
        <v>0</v>
      </c>
      <c r="E134" s="64">
        <f>IF('Expenses Summary'!$H89="","",IF('Cash Flow %s Yr5'!E134="","",'Cash Flow %s Yr5'!E134*'Expenses Summary'!$H89))</f>
        <v>0</v>
      </c>
      <c r="F134" s="64">
        <f>IF('Expenses Summary'!$H89="","",IF('Cash Flow %s Yr5'!F134="","",'Cash Flow %s Yr5'!F134*'Expenses Summary'!$H89))</f>
        <v>417.45979971695988</v>
      </c>
      <c r="G134" s="64">
        <f>IF('Expenses Summary'!$H89="","",IF('Cash Flow %s Yr5'!G134="","",'Cash Flow %s Yr5'!G134*'Expenses Summary'!$H89))</f>
        <v>417.45979971695988</v>
      </c>
      <c r="H134" s="64">
        <f>IF('Expenses Summary'!$H89="","",IF('Cash Flow %s Yr5'!H134="","",'Cash Flow %s Yr5'!H134*'Expenses Summary'!$H89))</f>
        <v>417.45979971695988</v>
      </c>
      <c r="I134" s="64">
        <f>IF('Expenses Summary'!$H89="","",IF('Cash Flow %s Yr5'!I134="","",'Cash Flow %s Yr5'!I134*'Expenses Summary'!$H89))</f>
        <v>417.45979971695988</v>
      </c>
      <c r="J134" s="64">
        <f>IF('Expenses Summary'!$H89="","",IF('Cash Flow %s Yr5'!J134="","",'Cash Flow %s Yr5'!J134*'Expenses Summary'!$H89))</f>
        <v>417.45979971695988</v>
      </c>
      <c r="K134" s="64">
        <f>IF('Expenses Summary'!$H89="","",IF('Cash Flow %s Yr5'!K134="","",'Cash Flow %s Yr5'!K134*'Expenses Summary'!$H89))</f>
        <v>417.45979971695988</v>
      </c>
      <c r="L134" s="64">
        <f>IF('Expenses Summary'!$H89="","",IF('Cash Flow %s Yr5'!L134="","",'Cash Flow %s Yr5'!L134*'Expenses Summary'!$H89))</f>
        <v>417.45979971695988</v>
      </c>
      <c r="M134" s="64">
        <f>IF('Expenses Summary'!$H89="","",IF('Cash Flow %s Yr5'!M134="","",'Cash Flow %s Yr5'!M134*'Expenses Summary'!$H89))</f>
        <v>417.45979971695988</v>
      </c>
      <c r="N134" s="64">
        <f>IF('Expenses Summary'!$H89="","",IF('Cash Flow %s Yr5'!N134="","",'Cash Flow %s Yr5'!N134*'Expenses Summary'!$H89))</f>
        <v>417.45979971695988</v>
      </c>
      <c r="O134" s="64">
        <f>IF('Expenses Summary'!$H89="","",IF('Cash Flow %s Yr5'!O134="","",'Cash Flow %s Yr5'!O134*'Expenses Summary'!$H89))</f>
        <v>417.45979971695988</v>
      </c>
      <c r="P134" s="129"/>
      <c r="Q134" s="129"/>
      <c r="R134" s="129"/>
      <c r="S134" s="111"/>
    </row>
    <row r="135" spans="1:19" s="31" customFormat="1" hidden="1" outlineLevel="1" x14ac:dyDescent="0.2">
      <c r="A135" s="36"/>
      <c r="B135" s="139">
        <f>'Expenses Summary'!B90</f>
        <v>0</v>
      </c>
      <c r="C135" s="139">
        <f>'Expenses Summary'!C90</f>
        <v>0</v>
      </c>
      <c r="D135" s="64" t="str">
        <f>IF('Expenses Summary'!$H90="","",IF('Cash Flow %s Yr5'!D135="","",'Cash Flow %s Yr5'!D135*'Expenses Summary'!$H90))</f>
        <v/>
      </c>
      <c r="E135" s="64" t="str">
        <f>IF('Expenses Summary'!$H90="","",IF('Cash Flow %s Yr5'!E135="","",'Cash Flow %s Yr5'!E135*'Expenses Summary'!$H90))</f>
        <v/>
      </c>
      <c r="F135" s="64" t="str">
        <f>IF('Expenses Summary'!$H90="","",IF('Cash Flow %s Yr5'!F135="","",'Cash Flow %s Yr5'!F135*'Expenses Summary'!$H90))</f>
        <v/>
      </c>
      <c r="G135" s="64" t="str">
        <f>IF('Expenses Summary'!$H90="","",IF('Cash Flow %s Yr5'!G135="","",'Cash Flow %s Yr5'!G135*'Expenses Summary'!$H90))</f>
        <v/>
      </c>
      <c r="H135" s="64" t="str">
        <f>IF('Expenses Summary'!$H90="","",IF('Cash Flow %s Yr5'!H135="","",'Cash Flow %s Yr5'!H135*'Expenses Summary'!$H90))</f>
        <v/>
      </c>
      <c r="I135" s="64" t="str">
        <f>IF('Expenses Summary'!$H90="","",IF('Cash Flow %s Yr5'!I135="","",'Cash Flow %s Yr5'!I135*'Expenses Summary'!$H90))</f>
        <v/>
      </c>
      <c r="J135" s="64" t="str">
        <f>IF('Expenses Summary'!$H90="","",IF('Cash Flow %s Yr5'!J135="","",'Cash Flow %s Yr5'!J135*'Expenses Summary'!$H90))</f>
        <v/>
      </c>
      <c r="K135" s="64" t="str">
        <f>IF('Expenses Summary'!$H90="","",IF('Cash Flow %s Yr5'!K135="","",'Cash Flow %s Yr5'!K135*'Expenses Summary'!$H90))</f>
        <v/>
      </c>
      <c r="L135" s="64" t="str">
        <f>IF('Expenses Summary'!$H90="","",IF('Cash Flow %s Yr5'!L135="","",'Cash Flow %s Yr5'!L135*'Expenses Summary'!$H90))</f>
        <v/>
      </c>
      <c r="M135" s="64" t="str">
        <f>IF('Expenses Summary'!$H90="","",IF('Cash Flow %s Yr5'!M135="","",'Cash Flow %s Yr5'!M135*'Expenses Summary'!$H90))</f>
        <v/>
      </c>
      <c r="N135" s="64" t="str">
        <f>IF('Expenses Summary'!$H90="","",IF('Cash Flow %s Yr5'!N135="","",'Cash Flow %s Yr5'!N135*'Expenses Summary'!$H90))</f>
        <v/>
      </c>
      <c r="O135" s="64" t="str">
        <f>IF('Expenses Summary'!$H90="","",IF('Cash Flow %s Yr5'!O135="","",'Cash Flow %s Yr5'!O135*'Expenses Summary'!$H90))</f>
        <v/>
      </c>
      <c r="P135" s="129"/>
      <c r="Q135" s="129"/>
      <c r="R135" s="129"/>
      <c r="S135" s="111"/>
    </row>
    <row r="136" spans="1:19" s="31" customFormat="1" hidden="1" outlineLevel="1" x14ac:dyDescent="0.2">
      <c r="A136" s="36"/>
      <c r="B136" s="139">
        <f>'Expenses Summary'!B91</f>
        <v>0</v>
      </c>
      <c r="C136" s="139">
        <f>'Expenses Summary'!C91</f>
        <v>0</v>
      </c>
      <c r="D136" s="64" t="str">
        <f>IF('Expenses Summary'!$H91="","",IF('Cash Flow %s Yr5'!D136="","",'Cash Flow %s Yr5'!D136*'Expenses Summary'!$H91))</f>
        <v/>
      </c>
      <c r="E136" s="64" t="str">
        <f>IF('Expenses Summary'!$H91="","",IF('Cash Flow %s Yr5'!E136="","",'Cash Flow %s Yr5'!E136*'Expenses Summary'!$H91))</f>
        <v/>
      </c>
      <c r="F136" s="64" t="str">
        <f>IF('Expenses Summary'!$H91="","",IF('Cash Flow %s Yr5'!F136="","",'Cash Flow %s Yr5'!F136*'Expenses Summary'!$H91))</f>
        <v/>
      </c>
      <c r="G136" s="64" t="str">
        <f>IF('Expenses Summary'!$H91="","",IF('Cash Flow %s Yr5'!G136="","",'Cash Flow %s Yr5'!G136*'Expenses Summary'!$H91))</f>
        <v/>
      </c>
      <c r="H136" s="64" t="str">
        <f>IF('Expenses Summary'!$H91="","",IF('Cash Flow %s Yr5'!H136="","",'Cash Flow %s Yr5'!H136*'Expenses Summary'!$H91))</f>
        <v/>
      </c>
      <c r="I136" s="64" t="str">
        <f>IF('Expenses Summary'!$H91="","",IF('Cash Flow %s Yr5'!I136="","",'Cash Flow %s Yr5'!I136*'Expenses Summary'!$H91))</f>
        <v/>
      </c>
      <c r="J136" s="64" t="str">
        <f>IF('Expenses Summary'!$H91="","",IF('Cash Flow %s Yr5'!J136="","",'Cash Flow %s Yr5'!J136*'Expenses Summary'!$H91))</f>
        <v/>
      </c>
      <c r="K136" s="64" t="str">
        <f>IF('Expenses Summary'!$H91="","",IF('Cash Flow %s Yr5'!K136="","",'Cash Flow %s Yr5'!K136*'Expenses Summary'!$H91))</f>
        <v/>
      </c>
      <c r="L136" s="64" t="str">
        <f>IF('Expenses Summary'!$H91="","",IF('Cash Flow %s Yr5'!L136="","",'Cash Flow %s Yr5'!L136*'Expenses Summary'!$H91))</f>
        <v/>
      </c>
      <c r="M136" s="64" t="str">
        <f>IF('Expenses Summary'!$H91="","",IF('Cash Flow %s Yr5'!M136="","",'Cash Flow %s Yr5'!M136*'Expenses Summary'!$H91))</f>
        <v/>
      </c>
      <c r="N136" s="64" t="str">
        <f>IF('Expenses Summary'!$H91="","",IF('Cash Flow %s Yr5'!N136="","",'Cash Flow %s Yr5'!N136*'Expenses Summary'!$H91))</f>
        <v/>
      </c>
      <c r="O136" s="64" t="str">
        <f>IF('Expenses Summary'!$H91="","",IF('Cash Flow %s Yr5'!O136="","",'Cash Flow %s Yr5'!O136*'Expenses Summary'!$H91))</f>
        <v/>
      </c>
      <c r="P136" s="129"/>
      <c r="Q136" s="129"/>
      <c r="R136" s="129"/>
      <c r="S136" s="111"/>
    </row>
    <row r="137" spans="1:19" s="31" customFormat="1" hidden="1" outlineLevel="1" x14ac:dyDescent="0.2">
      <c r="A137" s="36"/>
      <c r="B137" s="139">
        <f>'Expenses Summary'!B92</f>
        <v>0</v>
      </c>
      <c r="C137" s="139">
        <f>'Expenses Summary'!C92</f>
        <v>0</v>
      </c>
      <c r="D137" s="64" t="str">
        <f>IF('Expenses Summary'!$H92="","",IF('Cash Flow %s Yr5'!D137="","",'Cash Flow %s Yr5'!D137*'Expenses Summary'!$H92))</f>
        <v/>
      </c>
      <c r="E137" s="64" t="str">
        <f>IF('Expenses Summary'!$H92="","",IF('Cash Flow %s Yr5'!E137="","",'Cash Flow %s Yr5'!E137*'Expenses Summary'!$H92))</f>
        <v/>
      </c>
      <c r="F137" s="64" t="str">
        <f>IF('Expenses Summary'!$H92="","",IF('Cash Flow %s Yr5'!F137="","",'Cash Flow %s Yr5'!F137*'Expenses Summary'!$H92))</f>
        <v/>
      </c>
      <c r="G137" s="64" t="str">
        <f>IF('Expenses Summary'!$H92="","",IF('Cash Flow %s Yr5'!G137="","",'Cash Flow %s Yr5'!G137*'Expenses Summary'!$H92))</f>
        <v/>
      </c>
      <c r="H137" s="64" t="str">
        <f>IF('Expenses Summary'!$H92="","",IF('Cash Flow %s Yr5'!H137="","",'Cash Flow %s Yr5'!H137*'Expenses Summary'!$H92))</f>
        <v/>
      </c>
      <c r="I137" s="64" t="str">
        <f>IF('Expenses Summary'!$H92="","",IF('Cash Flow %s Yr5'!I137="","",'Cash Flow %s Yr5'!I137*'Expenses Summary'!$H92))</f>
        <v/>
      </c>
      <c r="J137" s="64" t="str">
        <f>IF('Expenses Summary'!$H92="","",IF('Cash Flow %s Yr5'!J137="","",'Cash Flow %s Yr5'!J137*'Expenses Summary'!$H92))</f>
        <v/>
      </c>
      <c r="K137" s="64" t="str">
        <f>IF('Expenses Summary'!$H92="","",IF('Cash Flow %s Yr5'!K137="","",'Cash Flow %s Yr5'!K137*'Expenses Summary'!$H92))</f>
        <v/>
      </c>
      <c r="L137" s="64" t="str">
        <f>IF('Expenses Summary'!$H92="","",IF('Cash Flow %s Yr5'!L137="","",'Cash Flow %s Yr5'!L137*'Expenses Summary'!$H92))</f>
        <v/>
      </c>
      <c r="M137" s="64" t="str">
        <f>IF('Expenses Summary'!$H92="","",IF('Cash Flow %s Yr5'!M137="","",'Cash Flow %s Yr5'!M137*'Expenses Summary'!$H92))</f>
        <v/>
      </c>
      <c r="N137" s="64" t="str">
        <f>IF('Expenses Summary'!$H92="","",IF('Cash Flow %s Yr5'!N137="","",'Cash Flow %s Yr5'!N137*'Expenses Summary'!$H92))</f>
        <v/>
      </c>
      <c r="O137" s="64" t="str">
        <f>IF('Expenses Summary'!$H92="","",IF('Cash Flow %s Yr5'!O137="","",'Cash Flow %s Yr5'!O137*'Expenses Summary'!$H92))</f>
        <v/>
      </c>
      <c r="P137" s="129"/>
      <c r="Q137" s="129"/>
      <c r="R137" s="129"/>
      <c r="S137" s="111"/>
    </row>
    <row r="138" spans="1:19" s="31" customFormat="1" hidden="1" outlineLevel="1" x14ac:dyDescent="0.2">
      <c r="A138" s="36"/>
      <c r="B138" s="139">
        <f>'Expenses Summary'!B93</f>
        <v>0</v>
      </c>
      <c r="C138" s="139">
        <f>'Expenses Summary'!C93</f>
        <v>0</v>
      </c>
      <c r="D138" s="64" t="str">
        <f>IF('Expenses Summary'!$H93="","",IF('Cash Flow %s Yr5'!D138="","",'Cash Flow %s Yr5'!D138*'Expenses Summary'!$H93))</f>
        <v/>
      </c>
      <c r="E138" s="64" t="str">
        <f>IF('Expenses Summary'!$H93="","",IF('Cash Flow %s Yr5'!E138="","",'Cash Flow %s Yr5'!E138*'Expenses Summary'!$H93))</f>
        <v/>
      </c>
      <c r="F138" s="64" t="str">
        <f>IF('Expenses Summary'!$H93="","",IF('Cash Flow %s Yr5'!F138="","",'Cash Flow %s Yr5'!F138*'Expenses Summary'!$H93))</f>
        <v/>
      </c>
      <c r="G138" s="64" t="str">
        <f>IF('Expenses Summary'!$H93="","",IF('Cash Flow %s Yr5'!G138="","",'Cash Flow %s Yr5'!G138*'Expenses Summary'!$H93))</f>
        <v/>
      </c>
      <c r="H138" s="64" t="str">
        <f>IF('Expenses Summary'!$H93="","",IF('Cash Flow %s Yr5'!H138="","",'Cash Flow %s Yr5'!H138*'Expenses Summary'!$H93))</f>
        <v/>
      </c>
      <c r="I138" s="64" t="str">
        <f>IF('Expenses Summary'!$H93="","",IF('Cash Flow %s Yr5'!I138="","",'Cash Flow %s Yr5'!I138*'Expenses Summary'!$H93))</f>
        <v/>
      </c>
      <c r="J138" s="64" t="str">
        <f>IF('Expenses Summary'!$H93="","",IF('Cash Flow %s Yr5'!J138="","",'Cash Flow %s Yr5'!J138*'Expenses Summary'!$H93))</f>
        <v/>
      </c>
      <c r="K138" s="64" t="str">
        <f>IF('Expenses Summary'!$H93="","",IF('Cash Flow %s Yr5'!K138="","",'Cash Flow %s Yr5'!K138*'Expenses Summary'!$H93))</f>
        <v/>
      </c>
      <c r="L138" s="64" t="str">
        <f>IF('Expenses Summary'!$H93="","",IF('Cash Flow %s Yr5'!L138="","",'Cash Flow %s Yr5'!L138*'Expenses Summary'!$H93))</f>
        <v/>
      </c>
      <c r="M138" s="64" t="str">
        <f>IF('Expenses Summary'!$H93="","",IF('Cash Flow %s Yr5'!M138="","",'Cash Flow %s Yr5'!M138*'Expenses Summary'!$H93))</f>
        <v/>
      </c>
      <c r="N138" s="64" t="str">
        <f>IF('Expenses Summary'!$H93="","",IF('Cash Flow %s Yr5'!N138="","",'Cash Flow %s Yr5'!N138*'Expenses Summary'!$H93))</f>
        <v/>
      </c>
      <c r="O138" s="64" t="str">
        <f>IF('Expenses Summary'!$H93="","",IF('Cash Flow %s Yr5'!O138="","",'Cash Flow %s Yr5'!O138*'Expenses Summary'!$H93))</f>
        <v/>
      </c>
      <c r="P138" s="129"/>
      <c r="Q138" s="129"/>
      <c r="R138" s="129"/>
      <c r="S138" s="111"/>
    </row>
    <row r="139" spans="1:19" s="31" customFormat="1" hidden="1" outlineLevel="1" x14ac:dyDescent="0.2">
      <c r="A139" s="36"/>
      <c r="B139" s="139">
        <f>'Expenses Summary'!B94</f>
        <v>0</v>
      </c>
      <c r="C139" s="139">
        <f>'Expenses Summary'!C94</f>
        <v>0</v>
      </c>
      <c r="D139" s="64" t="str">
        <f>IF('Expenses Summary'!$H94="","",IF('Cash Flow %s Yr5'!D139="","",'Cash Flow %s Yr5'!D139*'Expenses Summary'!$H94))</f>
        <v/>
      </c>
      <c r="E139" s="64" t="str">
        <f>IF('Expenses Summary'!$H94="","",IF('Cash Flow %s Yr5'!E139="","",'Cash Flow %s Yr5'!E139*'Expenses Summary'!$H94))</f>
        <v/>
      </c>
      <c r="F139" s="64" t="str">
        <f>IF('Expenses Summary'!$H94="","",IF('Cash Flow %s Yr5'!F139="","",'Cash Flow %s Yr5'!F139*'Expenses Summary'!$H94))</f>
        <v/>
      </c>
      <c r="G139" s="64" t="str">
        <f>IF('Expenses Summary'!$H94="","",IF('Cash Flow %s Yr5'!G139="","",'Cash Flow %s Yr5'!G139*'Expenses Summary'!$H94))</f>
        <v/>
      </c>
      <c r="H139" s="64" t="str">
        <f>IF('Expenses Summary'!$H94="","",IF('Cash Flow %s Yr5'!H139="","",'Cash Flow %s Yr5'!H139*'Expenses Summary'!$H94))</f>
        <v/>
      </c>
      <c r="I139" s="64" t="str">
        <f>IF('Expenses Summary'!$H94="","",IF('Cash Flow %s Yr5'!I139="","",'Cash Flow %s Yr5'!I139*'Expenses Summary'!$H94))</f>
        <v/>
      </c>
      <c r="J139" s="64" t="str">
        <f>IF('Expenses Summary'!$H94="","",IF('Cash Flow %s Yr5'!J139="","",'Cash Flow %s Yr5'!J139*'Expenses Summary'!$H94))</f>
        <v/>
      </c>
      <c r="K139" s="64" t="str">
        <f>IF('Expenses Summary'!$H94="","",IF('Cash Flow %s Yr5'!K139="","",'Cash Flow %s Yr5'!K139*'Expenses Summary'!$H94))</f>
        <v/>
      </c>
      <c r="L139" s="64" t="str">
        <f>IF('Expenses Summary'!$H94="","",IF('Cash Flow %s Yr5'!L139="","",'Cash Flow %s Yr5'!L139*'Expenses Summary'!$H94))</f>
        <v/>
      </c>
      <c r="M139" s="64" t="str">
        <f>IF('Expenses Summary'!$H94="","",IF('Cash Flow %s Yr5'!M139="","",'Cash Flow %s Yr5'!M139*'Expenses Summary'!$H94))</f>
        <v/>
      </c>
      <c r="N139" s="64" t="str">
        <f>IF('Expenses Summary'!$H94="","",IF('Cash Flow %s Yr5'!N139="","",'Cash Flow %s Yr5'!N139*'Expenses Summary'!$H94))</f>
        <v/>
      </c>
      <c r="O139" s="64" t="str">
        <f>IF('Expenses Summary'!$H94="","",IF('Cash Flow %s Yr5'!O139="","",'Cash Flow %s Yr5'!O139*'Expenses Summary'!$H94))</f>
        <v/>
      </c>
      <c r="P139" s="129"/>
      <c r="Q139" s="129"/>
      <c r="R139" s="129"/>
      <c r="S139" s="111"/>
    </row>
    <row r="140" spans="1:19" s="31" customFormat="1" hidden="1" outlineLevel="1" x14ac:dyDescent="0.2">
      <c r="A140" s="36"/>
      <c r="B140" s="139">
        <f>'Expenses Summary'!B95</f>
        <v>0</v>
      </c>
      <c r="C140" s="139">
        <f>'Expenses Summary'!C95</f>
        <v>0</v>
      </c>
      <c r="D140" s="64" t="str">
        <f>IF('Expenses Summary'!$H95="","",IF('Cash Flow %s Yr5'!D140="","",'Cash Flow %s Yr5'!D140*'Expenses Summary'!$H95))</f>
        <v/>
      </c>
      <c r="E140" s="64" t="str">
        <f>IF('Expenses Summary'!$H95="","",IF('Cash Flow %s Yr5'!E140="","",'Cash Flow %s Yr5'!E140*'Expenses Summary'!$H95))</f>
        <v/>
      </c>
      <c r="F140" s="64" t="str">
        <f>IF('Expenses Summary'!$H95="","",IF('Cash Flow %s Yr5'!F140="","",'Cash Flow %s Yr5'!F140*'Expenses Summary'!$H95))</f>
        <v/>
      </c>
      <c r="G140" s="64" t="str">
        <f>IF('Expenses Summary'!$H95="","",IF('Cash Flow %s Yr5'!G140="","",'Cash Flow %s Yr5'!G140*'Expenses Summary'!$H95))</f>
        <v/>
      </c>
      <c r="H140" s="64" t="str">
        <f>IF('Expenses Summary'!$H95="","",IF('Cash Flow %s Yr5'!H140="","",'Cash Flow %s Yr5'!H140*'Expenses Summary'!$H95))</f>
        <v/>
      </c>
      <c r="I140" s="64" t="str">
        <f>IF('Expenses Summary'!$H95="","",IF('Cash Flow %s Yr5'!I140="","",'Cash Flow %s Yr5'!I140*'Expenses Summary'!$H95))</f>
        <v/>
      </c>
      <c r="J140" s="64" t="str">
        <f>IF('Expenses Summary'!$H95="","",IF('Cash Flow %s Yr5'!J140="","",'Cash Flow %s Yr5'!J140*'Expenses Summary'!$H95))</f>
        <v/>
      </c>
      <c r="K140" s="64" t="str">
        <f>IF('Expenses Summary'!$H95="","",IF('Cash Flow %s Yr5'!K140="","",'Cash Flow %s Yr5'!K140*'Expenses Summary'!$H95))</f>
        <v/>
      </c>
      <c r="L140" s="64" t="str">
        <f>IF('Expenses Summary'!$H95="","",IF('Cash Flow %s Yr5'!L140="","",'Cash Flow %s Yr5'!L140*'Expenses Summary'!$H95))</f>
        <v/>
      </c>
      <c r="M140" s="64" t="str">
        <f>IF('Expenses Summary'!$H95="","",IF('Cash Flow %s Yr5'!M140="","",'Cash Flow %s Yr5'!M140*'Expenses Summary'!$H95))</f>
        <v/>
      </c>
      <c r="N140" s="64" t="str">
        <f>IF('Expenses Summary'!$H95="","",IF('Cash Flow %s Yr5'!N140="","",'Cash Flow %s Yr5'!N140*'Expenses Summary'!$H95))</f>
        <v/>
      </c>
      <c r="O140" s="64" t="str">
        <f>IF('Expenses Summary'!$H95="","",IF('Cash Flow %s Yr5'!O140="","",'Cash Flow %s Yr5'!O140*'Expenses Summary'!$H95))</f>
        <v/>
      </c>
      <c r="P140" s="129"/>
      <c r="Q140" s="129"/>
      <c r="R140" s="129"/>
      <c r="S140" s="111"/>
    </row>
    <row r="141" spans="1:19" s="31" customFormat="1" hidden="1" outlineLevel="1" x14ac:dyDescent="0.2">
      <c r="A141" s="36"/>
      <c r="B141" s="139">
        <f>'Expenses Summary'!B96</f>
        <v>0</v>
      </c>
      <c r="C141" s="139">
        <f>'Expenses Summary'!C96</f>
        <v>0</v>
      </c>
      <c r="D141" s="64" t="str">
        <f>IF('Expenses Summary'!$H96="","",IF('Cash Flow %s Yr5'!D141="","",'Cash Flow %s Yr5'!D141*'Expenses Summary'!$H96))</f>
        <v/>
      </c>
      <c r="E141" s="64" t="str">
        <f>IF('Expenses Summary'!$H96="","",IF('Cash Flow %s Yr5'!E141="","",'Cash Flow %s Yr5'!E141*'Expenses Summary'!$H96))</f>
        <v/>
      </c>
      <c r="F141" s="64" t="str">
        <f>IF('Expenses Summary'!$H96="","",IF('Cash Flow %s Yr5'!F141="","",'Cash Flow %s Yr5'!F141*'Expenses Summary'!$H96))</f>
        <v/>
      </c>
      <c r="G141" s="64" t="str">
        <f>IF('Expenses Summary'!$H96="","",IF('Cash Flow %s Yr5'!G141="","",'Cash Flow %s Yr5'!G141*'Expenses Summary'!$H96))</f>
        <v/>
      </c>
      <c r="H141" s="64" t="str">
        <f>IF('Expenses Summary'!$H96="","",IF('Cash Flow %s Yr5'!H141="","",'Cash Flow %s Yr5'!H141*'Expenses Summary'!$H96))</f>
        <v/>
      </c>
      <c r="I141" s="64" t="str">
        <f>IF('Expenses Summary'!$H96="","",IF('Cash Flow %s Yr5'!I141="","",'Cash Flow %s Yr5'!I141*'Expenses Summary'!$H96))</f>
        <v/>
      </c>
      <c r="J141" s="64" t="str">
        <f>IF('Expenses Summary'!$H96="","",IF('Cash Flow %s Yr5'!J141="","",'Cash Flow %s Yr5'!J141*'Expenses Summary'!$H96))</f>
        <v/>
      </c>
      <c r="K141" s="64" t="str">
        <f>IF('Expenses Summary'!$H96="","",IF('Cash Flow %s Yr5'!K141="","",'Cash Flow %s Yr5'!K141*'Expenses Summary'!$H96))</f>
        <v/>
      </c>
      <c r="L141" s="64" t="str">
        <f>IF('Expenses Summary'!$H96="","",IF('Cash Flow %s Yr5'!L141="","",'Cash Flow %s Yr5'!L141*'Expenses Summary'!$H96))</f>
        <v/>
      </c>
      <c r="M141" s="64" t="str">
        <f>IF('Expenses Summary'!$H96="","",IF('Cash Flow %s Yr5'!M141="","",'Cash Flow %s Yr5'!M141*'Expenses Summary'!$H96))</f>
        <v/>
      </c>
      <c r="N141" s="64" t="str">
        <f>IF('Expenses Summary'!$H96="","",IF('Cash Flow %s Yr5'!N141="","",'Cash Flow %s Yr5'!N141*'Expenses Summary'!$H96))</f>
        <v/>
      </c>
      <c r="O141" s="64" t="str">
        <f>IF('Expenses Summary'!$H96="","",IF('Cash Flow %s Yr5'!O141="","",'Cash Flow %s Yr5'!O141*'Expenses Summary'!$H96))</f>
        <v/>
      </c>
      <c r="P141" s="129"/>
      <c r="Q141" s="129"/>
      <c r="R141" s="129"/>
      <c r="S141" s="111"/>
    </row>
    <row r="142" spans="1:19" s="31" customFormat="1" hidden="1" outlineLevel="1" x14ac:dyDescent="0.2">
      <c r="A142" s="36"/>
      <c r="B142" s="139">
        <f>'Expenses Summary'!B97</f>
        <v>0</v>
      </c>
      <c r="C142" s="139">
        <f>'Expenses Summary'!C97</f>
        <v>0</v>
      </c>
      <c r="D142" s="64" t="str">
        <f>IF('Expenses Summary'!$H97="","",IF('Cash Flow %s Yr5'!D142="","",'Cash Flow %s Yr5'!D142*'Expenses Summary'!$H97))</f>
        <v/>
      </c>
      <c r="E142" s="64" t="str">
        <f>IF('Expenses Summary'!$H97="","",IF('Cash Flow %s Yr5'!E142="","",'Cash Flow %s Yr5'!E142*'Expenses Summary'!$H97))</f>
        <v/>
      </c>
      <c r="F142" s="64" t="str">
        <f>IF('Expenses Summary'!$H97="","",IF('Cash Flow %s Yr5'!F142="","",'Cash Flow %s Yr5'!F142*'Expenses Summary'!$H97))</f>
        <v/>
      </c>
      <c r="G142" s="64" t="str">
        <f>IF('Expenses Summary'!$H97="","",IF('Cash Flow %s Yr5'!G142="","",'Cash Flow %s Yr5'!G142*'Expenses Summary'!$H97))</f>
        <v/>
      </c>
      <c r="H142" s="64" t="str">
        <f>IF('Expenses Summary'!$H97="","",IF('Cash Flow %s Yr5'!H142="","",'Cash Flow %s Yr5'!H142*'Expenses Summary'!$H97))</f>
        <v/>
      </c>
      <c r="I142" s="64" t="str">
        <f>IF('Expenses Summary'!$H97="","",IF('Cash Flow %s Yr5'!I142="","",'Cash Flow %s Yr5'!I142*'Expenses Summary'!$H97))</f>
        <v/>
      </c>
      <c r="J142" s="64" t="str">
        <f>IF('Expenses Summary'!$H97="","",IF('Cash Flow %s Yr5'!J142="","",'Cash Flow %s Yr5'!J142*'Expenses Summary'!$H97))</f>
        <v/>
      </c>
      <c r="K142" s="64" t="str">
        <f>IF('Expenses Summary'!$H97="","",IF('Cash Flow %s Yr5'!K142="","",'Cash Flow %s Yr5'!K142*'Expenses Summary'!$H97))</f>
        <v/>
      </c>
      <c r="L142" s="64" t="str">
        <f>IF('Expenses Summary'!$H97="","",IF('Cash Flow %s Yr5'!L142="","",'Cash Flow %s Yr5'!L142*'Expenses Summary'!$H97))</f>
        <v/>
      </c>
      <c r="M142" s="64" t="str">
        <f>IF('Expenses Summary'!$H97="","",IF('Cash Flow %s Yr5'!M142="","",'Cash Flow %s Yr5'!M142*'Expenses Summary'!$H97))</f>
        <v/>
      </c>
      <c r="N142" s="64" t="str">
        <f>IF('Expenses Summary'!$H97="","",IF('Cash Flow %s Yr5'!N142="","",'Cash Flow %s Yr5'!N142*'Expenses Summary'!$H97))</f>
        <v/>
      </c>
      <c r="O142" s="64" t="str">
        <f>IF('Expenses Summary'!$H97="","",IF('Cash Flow %s Yr5'!O142="","",'Cash Flow %s Yr5'!O142*'Expenses Summary'!$H97))</f>
        <v/>
      </c>
      <c r="P142" s="129"/>
      <c r="Q142" s="129"/>
      <c r="R142" s="129"/>
      <c r="S142" s="111" t="str">
        <f>IF(SUM(D142:R142)&gt;0,SUM(D142:R142)/'Expenses Summary'!$H97,"")</f>
        <v/>
      </c>
    </row>
    <row r="143" spans="1:19" s="31" customFormat="1" collapsed="1" x14ac:dyDescent="0.2">
      <c r="A143" s="36"/>
      <c r="B143" s="139" t="str">
        <f>'Expenses Summary'!B98</f>
        <v>5999</v>
      </c>
      <c r="C143" s="139" t="str">
        <f>'Expenses Summary'!C98</f>
        <v>Expense Suspense</v>
      </c>
      <c r="D143" s="64" t="str">
        <f>IF('Expenses Summary'!$H98="","",IF('Cash Flow %s Yr5'!D143="","",'Cash Flow %s Yr5'!D143*'Expenses Summary'!$H98))</f>
        <v/>
      </c>
      <c r="E143" s="64" t="str">
        <f>IF('Expenses Summary'!$H98="","",IF('Cash Flow %s Yr5'!E143="","",'Cash Flow %s Yr5'!E143*'Expenses Summary'!$H98))</f>
        <v/>
      </c>
      <c r="F143" s="64" t="str">
        <f>IF('Expenses Summary'!$H98="","",IF('Cash Flow %s Yr5'!F143="","",'Cash Flow %s Yr5'!F143*'Expenses Summary'!$H98))</f>
        <v/>
      </c>
      <c r="G143" s="64" t="str">
        <f>IF('Expenses Summary'!$H98="","",IF('Cash Flow %s Yr5'!G143="","",'Cash Flow %s Yr5'!G143*'Expenses Summary'!$H98))</f>
        <v/>
      </c>
      <c r="H143" s="64" t="str">
        <f>IF('Expenses Summary'!$H98="","",IF('Cash Flow %s Yr5'!H143="","",'Cash Flow %s Yr5'!H143*'Expenses Summary'!$H98))</f>
        <v/>
      </c>
      <c r="I143" s="64" t="str">
        <f>IF('Expenses Summary'!$H98="","",IF('Cash Flow %s Yr5'!I143="","",'Cash Flow %s Yr5'!I143*'Expenses Summary'!$H98))</f>
        <v/>
      </c>
      <c r="J143" s="64" t="str">
        <f>IF('Expenses Summary'!$H98="","",IF('Cash Flow %s Yr5'!J143="","",'Cash Flow %s Yr5'!J143*'Expenses Summary'!$H98))</f>
        <v/>
      </c>
      <c r="K143" s="64" t="str">
        <f>IF('Expenses Summary'!$H98="","",IF('Cash Flow %s Yr5'!K143="","",'Cash Flow %s Yr5'!K143*'Expenses Summary'!$H98))</f>
        <v/>
      </c>
      <c r="L143" s="64" t="str">
        <f>IF('Expenses Summary'!$H98="","",IF('Cash Flow %s Yr5'!L143="","",'Cash Flow %s Yr5'!L143*'Expenses Summary'!$H98))</f>
        <v/>
      </c>
      <c r="M143" s="64" t="str">
        <f>IF('Expenses Summary'!$H98="","",IF('Cash Flow %s Yr5'!M143="","",'Cash Flow %s Yr5'!M143*'Expenses Summary'!$H98))</f>
        <v/>
      </c>
      <c r="N143" s="64" t="str">
        <f>IF('Expenses Summary'!$H98="","",IF('Cash Flow %s Yr5'!N143="","",'Cash Flow %s Yr5'!N143*'Expenses Summary'!$H98))</f>
        <v/>
      </c>
      <c r="O143" s="64" t="str">
        <f>IF('Expenses Summary'!$H98="","",IF('Cash Flow %s Yr5'!O143="","",'Cash Flow %s Yr5'!O143*'Expenses Summary'!$H98))</f>
        <v/>
      </c>
      <c r="P143" s="129"/>
      <c r="Q143" s="129"/>
      <c r="R143" s="129"/>
      <c r="S143" s="111" t="str">
        <f>IF(SUM(D143:R143)&gt;0,SUM(D143:R143)/'Expenses Summary'!$H98,"")</f>
        <v/>
      </c>
    </row>
    <row r="144" spans="1:19" s="31" customFormat="1" x14ac:dyDescent="0.2">
      <c r="A144" s="36"/>
      <c r="B144" s="33" t="s">
        <v>559</v>
      </c>
      <c r="C144" s="34" t="s">
        <v>721</v>
      </c>
      <c r="D144" s="172" t="e">
        <f>IF(SUM(D110:D143)&gt;0,SUM(D110:D143),"")</f>
        <v>#REF!</v>
      </c>
      <c r="E144" s="172" t="e">
        <f t="shared" ref="E144:O144" si="10">IF(SUM(E110:E143)&gt;0,SUM(E110:E143),"")</f>
        <v>#REF!</v>
      </c>
      <c r="F144" s="172" t="e">
        <f t="shared" si="10"/>
        <v>#REF!</v>
      </c>
      <c r="G144" s="172" t="e">
        <f t="shared" si="10"/>
        <v>#REF!</v>
      </c>
      <c r="H144" s="172" t="e">
        <f t="shared" si="10"/>
        <v>#REF!</v>
      </c>
      <c r="I144" s="172" t="e">
        <f t="shared" si="10"/>
        <v>#REF!</v>
      </c>
      <c r="J144" s="172" t="e">
        <f t="shared" si="10"/>
        <v>#REF!</v>
      </c>
      <c r="K144" s="172" t="e">
        <f t="shared" si="10"/>
        <v>#REF!</v>
      </c>
      <c r="L144" s="172" t="e">
        <f t="shared" si="10"/>
        <v>#REF!</v>
      </c>
      <c r="M144" s="172" t="e">
        <f t="shared" si="10"/>
        <v>#REF!</v>
      </c>
      <c r="N144" s="172" t="e">
        <f t="shared" si="10"/>
        <v>#REF!</v>
      </c>
      <c r="O144" s="172" t="e">
        <f t="shared" si="10"/>
        <v>#REF!</v>
      </c>
      <c r="P144" s="108"/>
      <c r="Q144" s="108"/>
      <c r="R144" s="108"/>
      <c r="S144" s="107"/>
    </row>
    <row r="145" spans="1:19" s="31" customFormat="1" x14ac:dyDescent="0.2">
      <c r="A145" s="36"/>
      <c r="B145" s="4"/>
      <c r="C145" s="3"/>
      <c r="D145" s="95"/>
      <c r="E145" s="95"/>
      <c r="F145" s="95"/>
      <c r="G145" s="95"/>
      <c r="H145" s="95"/>
      <c r="I145" s="95"/>
      <c r="J145" s="95"/>
      <c r="K145" s="95"/>
      <c r="L145" s="95"/>
      <c r="M145" s="95"/>
      <c r="N145" s="95"/>
      <c r="O145" s="95"/>
      <c r="P145" s="95"/>
      <c r="Q145" s="95"/>
      <c r="R145" s="95"/>
    </row>
    <row r="146" spans="1:19" s="31" customFormat="1" x14ac:dyDescent="0.2">
      <c r="B146" s="34" t="s">
        <v>723</v>
      </c>
      <c r="C146" s="3"/>
      <c r="D146" s="95"/>
      <c r="E146" s="95"/>
      <c r="F146" s="95"/>
      <c r="G146" s="95"/>
      <c r="H146" s="95"/>
      <c r="I146" s="95"/>
      <c r="J146" s="95"/>
      <c r="K146" s="95"/>
      <c r="L146" s="95"/>
      <c r="M146" s="95"/>
      <c r="N146" s="95"/>
      <c r="O146" s="95"/>
      <c r="P146" s="95"/>
      <c r="Q146" s="95"/>
      <c r="R146" s="95"/>
    </row>
    <row r="147" spans="1:19" s="31" customFormat="1" x14ac:dyDescent="0.2">
      <c r="A147" s="36"/>
      <c r="B147" s="139" t="str">
        <f>'Expenses Summary'!B102</f>
        <v>6900</v>
      </c>
      <c r="C147" s="139" t="str">
        <f>'Expenses Summary'!C102</f>
        <v xml:space="preserve">Depreciation Expense                                                            </v>
      </c>
      <c r="D147" s="64">
        <f>IF('Expenses Summary'!$H102="","",IF('Cash Flow %s Yr5'!D147="","",'Cash Flow %s Yr5'!D147*'Expenses Summary'!$H102))</f>
        <v>0</v>
      </c>
      <c r="E147" s="64">
        <f>IF('Expenses Summary'!$H102="","",IF('Cash Flow %s Yr5'!E147="","",'Cash Flow %s Yr5'!E147*'Expenses Summary'!$H102))</f>
        <v>0</v>
      </c>
      <c r="F147" s="64">
        <f>IF('Expenses Summary'!$H102="","",IF('Cash Flow %s Yr5'!F147="","",'Cash Flow %s Yr5'!F147*'Expenses Summary'!$H102))</f>
        <v>0</v>
      </c>
      <c r="G147" s="64">
        <f>IF('Expenses Summary'!$H102="","",IF('Cash Flow %s Yr5'!G147="","",'Cash Flow %s Yr5'!G147*'Expenses Summary'!$H102))</f>
        <v>0</v>
      </c>
      <c r="H147" s="64">
        <f>IF('Expenses Summary'!$H102="","",IF('Cash Flow %s Yr5'!H147="","",'Cash Flow %s Yr5'!H147*'Expenses Summary'!$H102))</f>
        <v>0</v>
      </c>
      <c r="I147" s="64">
        <f>IF('Expenses Summary'!$H102="","",IF('Cash Flow %s Yr5'!I147="","",'Cash Flow %s Yr5'!I147*'Expenses Summary'!$H102))</f>
        <v>0</v>
      </c>
      <c r="J147" s="64">
        <f>IF('Expenses Summary'!$H102="","",IF('Cash Flow %s Yr5'!J147="","",'Cash Flow %s Yr5'!J147*'Expenses Summary'!$H102))</f>
        <v>0</v>
      </c>
      <c r="K147" s="64">
        <f>IF('Expenses Summary'!$H102="","",IF('Cash Flow %s Yr5'!K147="","",'Cash Flow %s Yr5'!K147*'Expenses Summary'!$H102))</f>
        <v>0</v>
      </c>
      <c r="L147" s="64">
        <f>IF('Expenses Summary'!$H102="","",IF('Cash Flow %s Yr5'!L147="","",'Cash Flow %s Yr5'!L147*'Expenses Summary'!$H102))</f>
        <v>0</v>
      </c>
      <c r="M147" s="64">
        <f>IF('Expenses Summary'!$H102="","",IF('Cash Flow %s Yr5'!M147="","",'Cash Flow %s Yr5'!M147*'Expenses Summary'!$H102))</f>
        <v>0</v>
      </c>
      <c r="N147" s="64">
        <f>IF('Expenses Summary'!$H102="","",IF('Cash Flow %s Yr5'!N147="","",'Cash Flow %s Yr5'!N147*'Expenses Summary'!$H102))</f>
        <v>0</v>
      </c>
      <c r="O147" s="64">
        <f>IF('Expenses Summary'!$H102="","",IF('Cash Flow %s Yr5'!O147="","",'Cash Flow %s Yr5'!O147*'Expenses Summary'!$H102))</f>
        <v>2824</v>
      </c>
      <c r="P147" s="129"/>
      <c r="Q147" s="129"/>
      <c r="R147" s="129"/>
      <c r="S147" s="111">
        <f>IF(SUM(D147:R147)&gt;0,SUM(D147:R147)/'Expenses Summary'!$H102,"")</f>
        <v>1</v>
      </c>
    </row>
    <row r="148" spans="1:19" s="31" customFormat="1" x14ac:dyDescent="0.2">
      <c r="A148" s="36"/>
      <c r="B148" s="33" t="s">
        <v>560</v>
      </c>
      <c r="C148" s="34" t="s">
        <v>721</v>
      </c>
      <c r="D148" s="172" t="str">
        <f t="shared" ref="D148:O148" si="11">IF(SUM(D146:D147)&gt;0,SUM(D146:D147),"")</f>
        <v/>
      </c>
      <c r="E148" s="172" t="str">
        <f t="shared" si="11"/>
        <v/>
      </c>
      <c r="F148" s="172" t="str">
        <f t="shared" si="11"/>
        <v/>
      </c>
      <c r="G148" s="172" t="str">
        <f t="shared" si="11"/>
        <v/>
      </c>
      <c r="H148" s="172" t="str">
        <f t="shared" si="11"/>
        <v/>
      </c>
      <c r="I148" s="172" t="str">
        <f t="shared" si="11"/>
        <v/>
      </c>
      <c r="J148" s="172" t="str">
        <f t="shared" si="11"/>
        <v/>
      </c>
      <c r="K148" s="172" t="str">
        <f t="shared" si="11"/>
        <v/>
      </c>
      <c r="L148" s="172" t="str">
        <f t="shared" si="11"/>
        <v/>
      </c>
      <c r="M148" s="172" t="str">
        <f t="shared" si="11"/>
        <v/>
      </c>
      <c r="N148" s="172" t="str">
        <f t="shared" si="11"/>
        <v/>
      </c>
      <c r="O148" s="172">
        <f t="shared" si="11"/>
        <v>2824</v>
      </c>
      <c r="P148" s="108"/>
      <c r="Q148" s="108"/>
      <c r="R148" s="108"/>
      <c r="S148" s="107"/>
    </row>
    <row r="149" spans="1:19" s="31" customFormat="1" x14ac:dyDescent="0.2">
      <c r="A149" s="36"/>
      <c r="B149" s="4"/>
      <c r="C149" s="3"/>
      <c r="D149" s="104"/>
      <c r="E149" s="104"/>
      <c r="F149" s="104"/>
      <c r="G149" s="95"/>
      <c r="H149" s="95"/>
      <c r="I149" s="95"/>
      <c r="J149" s="95"/>
      <c r="K149" s="95"/>
      <c r="L149" s="95"/>
      <c r="M149" s="95"/>
      <c r="N149" s="95"/>
      <c r="O149" s="95"/>
      <c r="P149" s="95"/>
      <c r="Q149" s="95"/>
      <c r="R149" s="95"/>
    </row>
    <row r="150" spans="1:19" s="31" customFormat="1" x14ac:dyDescent="0.2">
      <c r="B150" s="34" t="s">
        <v>724</v>
      </c>
      <c r="C150" s="3"/>
      <c r="D150" s="104"/>
      <c r="E150" s="104"/>
      <c r="F150" s="104"/>
      <c r="G150" s="95"/>
      <c r="H150" s="95"/>
      <c r="I150" s="95"/>
      <c r="J150" s="95"/>
      <c r="K150" s="95"/>
      <c r="L150" s="95"/>
      <c r="M150" s="95"/>
      <c r="N150" s="95"/>
      <c r="O150" s="95"/>
      <c r="P150" s="95"/>
      <c r="Q150" s="95"/>
      <c r="R150" s="95"/>
    </row>
    <row r="151" spans="1:19" s="31" customFormat="1" x14ac:dyDescent="0.2">
      <c r="A151" s="36"/>
      <c r="B151" s="139" t="str">
        <f>'Expenses Summary'!B106</f>
        <v>7000</v>
      </c>
      <c r="C151" s="139" t="str">
        <f>'Expenses Summary'!C106</f>
        <v>Miscellaneous Expense</v>
      </c>
      <c r="D151" s="64" t="str">
        <f>IF('Expenses Summary'!$H106="","",IF('Cash Flow %s Yr5'!D151="","",'Cash Flow %s Yr5'!D151*'Expenses Summary'!$H106))</f>
        <v/>
      </c>
      <c r="E151" s="64" t="str">
        <f>IF('Expenses Summary'!$H106="","",IF('Cash Flow %s Yr5'!E151="","",'Cash Flow %s Yr5'!E151*'Expenses Summary'!$H106))</f>
        <v/>
      </c>
      <c r="F151" s="64" t="str">
        <f>IF('Expenses Summary'!$H106="","",IF('Cash Flow %s Yr5'!F151="","",'Cash Flow %s Yr5'!F151*'Expenses Summary'!$H106))</f>
        <v/>
      </c>
      <c r="G151" s="64" t="str">
        <f>IF('Expenses Summary'!$H106="","",IF('Cash Flow %s Yr5'!G151="","",'Cash Flow %s Yr5'!G151*'Expenses Summary'!$H106))</f>
        <v/>
      </c>
      <c r="H151" s="64" t="str">
        <f>IF('Expenses Summary'!$H106="","",IF('Cash Flow %s Yr5'!H151="","",'Cash Flow %s Yr5'!H151*'Expenses Summary'!$H106))</f>
        <v/>
      </c>
      <c r="I151" s="64" t="str">
        <f>IF('Expenses Summary'!$H106="","",IF('Cash Flow %s Yr5'!I151="","",'Cash Flow %s Yr5'!I151*'Expenses Summary'!$H106))</f>
        <v/>
      </c>
      <c r="J151" s="64" t="str">
        <f>IF('Expenses Summary'!$H106="","",IF('Cash Flow %s Yr5'!J151="","",'Cash Flow %s Yr5'!J151*'Expenses Summary'!$H106))</f>
        <v/>
      </c>
      <c r="K151" s="64" t="str">
        <f>IF('Expenses Summary'!$H106="","",IF('Cash Flow %s Yr5'!K151="","",'Cash Flow %s Yr5'!K151*'Expenses Summary'!$H106))</f>
        <v/>
      </c>
      <c r="L151" s="64" t="str">
        <f>IF('Expenses Summary'!$H106="","",IF('Cash Flow %s Yr5'!L151="","",'Cash Flow %s Yr5'!L151*'Expenses Summary'!$H106))</f>
        <v/>
      </c>
      <c r="M151" s="64" t="str">
        <f>IF('Expenses Summary'!$H106="","",IF('Cash Flow %s Yr5'!M151="","",'Cash Flow %s Yr5'!M151*'Expenses Summary'!$H106))</f>
        <v/>
      </c>
      <c r="N151" s="64" t="str">
        <f>IF('Expenses Summary'!$H106="","",IF('Cash Flow %s Yr5'!N151="","",'Cash Flow %s Yr5'!N151*'Expenses Summary'!$H106))</f>
        <v/>
      </c>
      <c r="O151" s="64" t="str">
        <f>IF('Expenses Summary'!$H106="","",IF('Cash Flow %s Yr5'!O151="","",'Cash Flow %s Yr5'!O151*'Expenses Summary'!$H106))</f>
        <v/>
      </c>
      <c r="P151" s="129"/>
      <c r="Q151" s="129"/>
      <c r="R151" s="129"/>
      <c r="S151" s="111" t="str">
        <f>IF(SUM(D151:R151)&gt;0,SUM(D151:R151)/'Expenses Summary'!$H106,"")</f>
        <v/>
      </c>
    </row>
    <row r="152" spans="1:19" s="31" customFormat="1" x14ac:dyDescent="0.2">
      <c r="A152" s="36"/>
      <c r="B152" s="139" t="str">
        <f>'Expenses Summary'!B107</f>
        <v>7010</v>
      </c>
      <c r="C152" s="139" t="str">
        <f>'Expenses Summary'!C107</f>
        <v>Special Education Encroachment</v>
      </c>
      <c r="D152" s="64">
        <f>IF('Expenses Summary'!$H107="","",IF('Cash Flow %s Yr5'!D152="","",'Cash Flow %s Yr5'!D152*'Expenses Summary'!$H107))</f>
        <v>0</v>
      </c>
      <c r="E152" s="64">
        <f>IF('Expenses Summary'!$H107="","",IF('Cash Flow %s Yr5'!E152="","",'Cash Flow %s Yr5'!E152*'Expenses Summary'!$H107))</f>
        <v>0</v>
      </c>
      <c r="F152" s="64">
        <f>IF('Expenses Summary'!$H107="","",IF('Cash Flow %s Yr5'!F152="","",'Cash Flow %s Yr5'!F152*'Expenses Summary'!$H107))</f>
        <v>0</v>
      </c>
      <c r="G152" s="64">
        <f>IF('Expenses Summary'!$H107="","",IF('Cash Flow %s Yr5'!G152="","",'Cash Flow %s Yr5'!G152*'Expenses Summary'!$H107))</f>
        <v>0</v>
      </c>
      <c r="H152" s="64">
        <f>IF('Expenses Summary'!$H107="","",IF('Cash Flow %s Yr5'!H152="","",'Cash Flow %s Yr5'!H152*'Expenses Summary'!$H107))</f>
        <v>0</v>
      </c>
      <c r="I152" s="64">
        <f>IF('Expenses Summary'!$H107="","",IF('Cash Flow %s Yr5'!I152="","",'Cash Flow %s Yr5'!I152*'Expenses Summary'!$H107))</f>
        <v>0</v>
      </c>
      <c r="J152" s="64">
        <f>IF('Expenses Summary'!$H107="","",IF('Cash Flow %s Yr5'!J152="","",'Cash Flow %s Yr5'!J152*'Expenses Summary'!$H107))</f>
        <v>0</v>
      </c>
      <c r="K152" s="64">
        <f>IF('Expenses Summary'!$H107="","",IF('Cash Flow %s Yr5'!K152="","",'Cash Flow %s Yr5'!K152*'Expenses Summary'!$H107))</f>
        <v>0</v>
      </c>
      <c r="L152" s="64">
        <f>IF('Expenses Summary'!$H107="","",IF('Cash Flow %s Yr5'!L152="","",'Cash Flow %s Yr5'!L152*'Expenses Summary'!$H107))</f>
        <v>0</v>
      </c>
      <c r="M152" s="64">
        <f>IF('Expenses Summary'!$H107="","",IF('Cash Flow %s Yr5'!M152="","",'Cash Flow %s Yr5'!M152*'Expenses Summary'!$H107))</f>
        <v>0</v>
      </c>
      <c r="N152" s="64">
        <f>IF('Expenses Summary'!$H107="","",IF('Cash Flow %s Yr5'!N152="","",'Cash Flow %s Yr5'!N152*'Expenses Summary'!$H107))</f>
        <v>0</v>
      </c>
      <c r="O152" s="64">
        <f>IF('Expenses Summary'!$H107="","",IF('Cash Flow %s Yr5'!O152="","",'Cash Flow %s Yr5'!O152*'Expenses Summary'!$H107))</f>
        <v>74824.334700000007</v>
      </c>
      <c r="P152" s="129"/>
      <c r="Q152" s="129"/>
      <c r="R152" s="129"/>
      <c r="S152" s="111">
        <f>IF(SUM(D152:R152)&gt;0,SUM(D152:R152)/'Expenses Summary'!$H107,"")</f>
        <v>1</v>
      </c>
    </row>
    <row r="153" spans="1:19" s="31" customFormat="1" x14ac:dyDescent="0.2">
      <c r="A153" s="36"/>
      <c r="B153" s="139" t="str">
        <f>'Expenses Summary'!B108</f>
        <v>7438</v>
      </c>
      <c r="C153" s="139" t="str">
        <f>'Expenses Summary'!C108</f>
        <v xml:space="preserve">Debt </v>
      </c>
      <c r="D153" s="64">
        <f>IF('Expenses Summary'!$H108="","",IF('Cash Flow %s Yr5'!D153="","",'Cash Flow %s Yr5'!D153*'Expenses Summary'!$H108))</f>
        <v>0</v>
      </c>
      <c r="E153" s="64">
        <f>IF('Expenses Summary'!$H108="","",IF('Cash Flow %s Yr5'!E153="","",'Cash Flow %s Yr5'!E153*'Expenses Summary'!$H108))</f>
        <v>0</v>
      </c>
      <c r="F153" s="64">
        <f>IF('Expenses Summary'!$H108="","",IF('Cash Flow %s Yr5'!F153="","",'Cash Flow %s Yr5'!F153*'Expenses Summary'!$H108))</f>
        <v>0</v>
      </c>
      <c r="G153" s="64">
        <f>IF('Expenses Summary'!$H108="","",IF('Cash Flow %s Yr5'!G153="","",'Cash Flow %s Yr5'!G153*'Expenses Summary'!$H108))</f>
        <v>0</v>
      </c>
      <c r="H153" s="64">
        <f>IF('Expenses Summary'!$H108="","",IF('Cash Flow %s Yr5'!H153="","",'Cash Flow %s Yr5'!H153*'Expenses Summary'!$H108))</f>
        <v>0</v>
      </c>
      <c r="I153" s="64">
        <f>IF('Expenses Summary'!$H108="","",IF('Cash Flow %s Yr5'!I153="","",'Cash Flow %s Yr5'!I153*'Expenses Summary'!$H108))</f>
        <v>0</v>
      </c>
      <c r="J153" s="64">
        <f>IF('Expenses Summary'!$H108="","",IF('Cash Flow %s Yr5'!J153="","",'Cash Flow %s Yr5'!J153*'Expenses Summary'!$H108))</f>
        <v>0</v>
      </c>
      <c r="K153" s="64">
        <f>IF('Expenses Summary'!$H108="","",IF('Cash Flow %s Yr5'!K153="","",'Cash Flow %s Yr5'!K153*'Expenses Summary'!$H108))</f>
        <v>0</v>
      </c>
      <c r="L153" s="64">
        <f>IF('Expenses Summary'!$H108="","",IF('Cash Flow %s Yr5'!L153="","",'Cash Flow %s Yr5'!L153*'Expenses Summary'!$H108))</f>
        <v>0</v>
      </c>
      <c r="M153" s="64">
        <f>IF('Expenses Summary'!$H108="","",IF('Cash Flow %s Yr5'!M153="","",'Cash Flow %s Yr5'!M153*'Expenses Summary'!$H108))</f>
        <v>0</v>
      </c>
      <c r="N153" s="64">
        <f>IF('Expenses Summary'!$H108="","",IF('Cash Flow %s Yr5'!N153="","",'Cash Flow %s Yr5'!N153*'Expenses Summary'!$H108))</f>
        <v>0</v>
      </c>
      <c r="O153" s="64">
        <f>IF('Expenses Summary'!$H108="","",IF('Cash Flow %s Yr5'!O153="","",'Cash Flow %s Yr5'!O153*'Expenses Summary'!$H108))</f>
        <v>0</v>
      </c>
      <c r="P153" s="129"/>
      <c r="Q153" s="129"/>
      <c r="R153" s="129"/>
      <c r="S153" s="111" t="str">
        <f>IF(SUM(D153:R153)&gt;0,SUM(D153:R153)/'Expenses Summary'!$H108,"")</f>
        <v/>
      </c>
    </row>
    <row r="154" spans="1:19" s="31" customFormat="1" x14ac:dyDescent="0.2">
      <c r="A154" s="36"/>
      <c r="B154" s="139" t="str">
        <f>'Expenses Summary'!B109</f>
        <v>7500</v>
      </c>
      <c r="C154" s="139" t="str">
        <f>'Expenses Summary'!C109</f>
        <v>District Oversight Fee</v>
      </c>
      <c r="D154" s="64">
        <f>IF('Expenses Summary'!$H109="","",IF('Cash Flow %s Yr5'!D154="","",'Cash Flow %s Yr5'!D154*'Expenses Summary'!$H109))</f>
        <v>0</v>
      </c>
      <c r="E154" s="64">
        <f>IF('Expenses Summary'!$H109="","",IF('Cash Flow %s Yr5'!E154="","",'Cash Flow %s Yr5'!E154*'Expenses Summary'!$H109))</f>
        <v>0</v>
      </c>
      <c r="F154" s="64">
        <f>IF('Expenses Summary'!$H109="","",IF('Cash Flow %s Yr5'!F154="","",'Cash Flow %s Yr5'!F154*'Expenses Summary'!$H109))</f>
        <v>0</v>
      </c>
      <c r="G154" s="64">
        <f>IF('Expenses Summary'!$H109="","",IF('Cash Flow %s Yr5'!G154="","",'Cash Flow %s Yr5'!G154*'Expenses Summary'!$H109))</f>
        <v>0</v>
      </c>
      <c r="H154" s="64">
        <f>IF('Expenses Summary'!$H109="","",IF('Cash Flow %s Yr5'!H154="","",'Cash Flow %s Yr5'!H154*'Expenses Summary'!$H109))</f>
        <v>0</v>
      </c>
      <c r="I154" s="64">
        <f>IF('Expenses Summary'!$H109="","",IF('Cash Flow %s Yr5'!I154="","",'Cash Flow %s Yr5'!I154*'Expenses Summary'!$H109))</f>
        <v>0</v>
      </c>
      <c r="J154" s="64">
        <f>IF('Expenses Summary'!$H109="","",IF('Cash Flow %s Yr5'!J154="","",'Cash Flow %s Yr5'!J154*'Expenses Summary'!$H109))</f>
        <v>0</v>
      </c>
      <c r="K154" s="64">
        <f>IF('Expenses Summary'!$H109="","",IF('Cash Flow %s Yr5'!K154="","",'Cash Flow %s Yr5'!K154*'Expenses Summary'!$H109))</f>
        <v>0</v>
      </c>
      <c r="L154" s="64">
        <f>IF('Expenses Summary'!$H109="","",IF('Cash Flow %s Yr5'!L154="","",'Cash Flow %s Yr5'!L154*'Expenses Summary'!$H109))</f>
        <v>0</v>
      </c>
      <c r="M154" s="64">
        <f>IF('Expenses Summary'!$H109="","",IF('Cash Flow %s Yr5'!M154="","",'Cash Flow %s Yr5'!M154*'Expenses Summary'!$H109))</f>
        <v>0</v>
      </c>
      <c r="N154" s="64">
        <f>IF('Expenses Summary'!$H109="","",IF('Cash Flow %s Yr5'!N154="","",'Cash Flow %s Yr5'!N154*'Expenses Summary'!$H109))</f>
        <v>0</v>
      </c>
      <c r="O154" s="64">
        <f>IF('Expenses Summary'!$H109="","",IF('Cash Flow %s Yr5'!O154="","",'Cash Flow %s Yr5'!O154*'Expenses Summary'!$H109))</f>
        <v>0</v>
      </c>
      <c r="P154" s="129"/>
      <c r="Q154" s="129"/>
      <c r="R154" s="129"/>
      <c r="S154" s="111" t="str">
        <f>IF(SUM(D154:R154)&gt;0,SUM(D154:R154)/'Expenses Summary'!$H109,"")</f>
        <v/>
      </c>
    </row>
    <row r="155" spans="1:19" s="31" customFormat="1" x14ac:dyDescent="0.2">
      <c r="A155" s="36"/>
      <c r="B155" s="33" t="s">
        <v>685</v>
      </c>
      <c r="C155" s="34" t="s">
        <v>725</v>
      </c>
      <c r="D155" s="192" t="str">
        <f t="shared" ref="D155:O155" si="12">IF(SUM(D150:D154)&gt;0,SUM(D150:D154),"")</f>
        <v/>
      </c>
      <c r="E155" s="192" t="str">
        <f t="shared" si="12"/>
        <v/>
      </c>
      <c r="F155" s="192" t="str">
        <f t="shared" si="12"/>
        <v/>
      </c>
      <c r="G155" s="192" t="str">
        <f t="shared" si="12"/>
        <v/>
      </c>
      <c r="H155" s="192" t="str">
        <f t="shared" si="12"/>
        <v/>
      </c>
      <c r="I155" s="192" t="str">
        <f t="shared" si="12"/>
        <v/>
      </c>
      <c r="J155" s="192" t="str">
        <f t="shared" si="12"/>
        <v/>
      </c>
      <c r="K155" s="192" t="str">
        <f t="shared" si="12"/>
        <v/>
      </c>
      <c r="L155" s="192" t="str">
        <f t="shared" si="12"/>
        <v/>
      </c>
      <c r="M155" s="192" t="str">
        <f t="shared" si="12"/>
        <v/>
      </c>
      <c r="N155" s="192" t="str">
        <f t="shared" si="12"/>
        <v/>
      </c>
      <c r="O155" s="192">
        <f t="shared" si="12"/>
        <v>74824.334700000007</v>
      </c>
      <c r="P155" s="132"/>
      <c r="Q155" s="132"/>
      <c r="R155" s="132"/>
    </row>
    <row r="156" spans="1:19" s="31" customFormat="1" x14ac:dyDescent="0.2">
      <c r="A156" s="34" t="s">
        <v>732</v>
      </c>
      <c r="B156" s="4"/>
      <c r="C156" s="3"/>
      <c r="D156" s="172" t="e">
        <f t="shared" ref="D156:O156" si="13">IF(SUM(D155,D148,D144,D108,D88,D76,D63)&gt;0,SUM(D155,D148,D144,D108,D88,D76,D63),"")</f>
        <v>#REF!</v>
      </c>
      <c r="E156" s="172" t="e">
        <f t="shared" si="13"/>
        <v>#REF!</v>
      </c>
      <c r="F156" s="172" t="e">
        <f t="shared" si="13"/>
        <v>#REF!</v>
      </c>
      <c r="G156" s="172" t="e">
        <f t="shared" si="13"/>
        <v>#REF!</v>
      </c>
      <c r="H156" s="172" t="e">
        <f t="shared" si="13"/>
        <v>#REF!</v>
      </c>
      <c r="I156" s="172" t="e">
        <f t="shared" si="13"/>
        <v>#REF!</v>
      </c>
      <c r="J156" s="172" t="e">
        <f t="shared" si="13"/>
        <v>#REF!</v>
      </c>
      <c r="K156" s="172" t="e">
        <f t="shared" si="13"/>
        <v>#REF!</v>
      </c>
      <c r="L156" s="172" t="e">
        <f t="shared" si="13"/>
        <v>#REF!</v>
      </c>
      <c r="M156" s="172" t="e">
        <f t="shared" si="13"/>
        <v>#REF!</v>
      </c>
      <c r="N156" s="172" t="e">
        <f t="shared" si="13"/>
        <v>#REF!</v>
      </c>
      <c r="O156" s="172" t="e">
        <f t="shared" si="13"/>
        <v>#REF!</v>
      </c>
      <c r="P156" s="95"/>
      <c r="Q156" s="95"/>
      <c r="R156" s="95"/>
    </row>
    <row r="157" spans="1:19" s="31" customFormat="1" x14ac:dyDescent="0.2">
      <c r="A157" s="34"/>
      <c r="B157" s="4"/>
      <c r="C157" s="3"/>
      <c r="D157" s="46"/>
      <c r="E157" s="46"/>
      <c r="F157" s="46"/>
      <c r="G157" s="46"/>
      <c r="H157" s="46"/>
      <c r="I157" s="46"/>
      <c r="J157" s="46"/>
      <c r="K157" s="46"/>
      <c r="L157" s="46"/>
      <c r="M157" s="46"/>
      <c r="N157" s="46"/>
      <c r="O157" s="46"/>
      <c r="P157" s="95"/>
      <c r="Q157" s="95"/>
      <c r="R157" s="95"/>
    </row>
    <row r="158" spans="1:19" s="31" customFormat="1" x14ac:dyDescent="0.2">
      <c r="A158" s="36"/>
      <c r="B158" s="34" t="s">
        <v>824</v>
      </c>
      <c r="C158" s="3"/>
      <c r="D158" s="104"/>
      <c r="E158" s="104"/>
      <c r="F158" s="104"/>
      <c r="G158" s="95"/>
      <c r="H158" s="95"/>
      <c r="I158" s="95"/>
      <c r="J158" s="95"/>
      <c r="K158" s="95"/>
      <c r="L158" s="95"/>
      <c r="M158" s="95"/>
      <c r="N158" s="95"/>
      <c r="O158" s="95"/>
      <c r="P158" s="95"/>
      <c r="Q158" s="95"/>
      <c r="R158" s="95"/>
    </row>
    <row r="159" spans="1:19" s="31" customFormat="1" x14ac:dyDescent="0.2">
      <c r="A159" s="36"/>
      <c r="B159" s="66"/>
      <c r="C159" s="66" t="str">
        <f>'Cash Flow %s Yr5'!C158</f>
        <v>Cash balance at previous year end</v>
      </c>
      <c r="D159" s="64" t="e">
        <f>'Cash Flow $s Yr4'!O169</f>
        <v>#REF!</v>
      </c>
      <c r="E159" s="64">
        <f>'Cash Flow %s Yr5'!E158*'Cash Flow %s Yr5'!$X158</f>
        <v>0</v>
      </c>
      <c r="F159" s="64">
        <f>'Cash Flow %s Yr5'!F158*'Cash Flow %s Yr5'!$X158</f>
        <v>0</v>
      </c>
      <c r="G159" s="64">
        <f>'Cash Flow %s Yr5'!G158*'Cash Flow %s Yr5'!$X158</f>
        <v>0</v>
      </c>
      <c r="H159" s="64">
        <f>'Cash Flow %s Yr5'!H158*'Cash Flow %s Yr5'!$X158</f>
        <v>0</v>
      </c>
      <c r="I159" s="64">
        <f>'Cash Flow %s Yr5'!I158*'Cash Flow %s Yr5'!$X158</f>
        <v>0</v>
      </c>
      <c r="J159" s="64">
        <f>'Cash Flow %s Yr5'!J158*'Cash Flow %s Yr5'!$X158</f>
        <v>0</v>
      </c>
      <c r="K159" s="64">
        <f>'Cash Flow %s Yr5'!K158*'Cash Flow %s Yr5'!$X158</f>
        <v>0</v>
      </c>
      <c r="L159" s="64">
        <f>'Cash Flow %s Yr5'!L158*'Cash Flow %s Yr5'!$X158</f>
        <v>0</v>
      </c>
      <c r="M159" s="64">
        <f>'Cash Flow %s Yr5'!M158*'Cash Flow %s Yr5'!$X158</f>
        <v>0</v>
      </c>
      <c r="N159" s="64">
        <f>'Cash Flow %s Yr5'!N158*'Cash Flow %s Yr5'!$X158</f>
        <v>0</v>
      </c>
      <c r="O159" s="64">
        <f>'Cash Flow %s Yr5'!O158*'Cash Flow %s Yr5'!$X158</f>
        <v>0</v>
      </c>
      <c r="P159" s="103"/>
      <c r="Q159" s="103"/>
      <c r="R159" s="103"/>
    </row>
    <row r="160" spans="1:19" s="31" customFormat="1" x14ac:dyDescent="0.2">
      <c r="A160" s="36"/>
      <c r="B160" s="66"/>
      <c r="C160" s="135" t="str">
        <f>'Cash Flow %s Yr5'!C159</f>
        <v>Accounts Receivable</v>
      </c>
      <c r="D160" s="64">
        <f>'Cash Flow %s Yr5'!D159*'Cash Flow $s Yr4'!$O160</f>
        <v>0</v>
      </c>
      <c r="E160" s="64">
        <f>'Cash Flow %s Yr5'!E159*'Cash Flow $s Yr4'!$O160</f>
        <v>0</v>
      </c>
      <c r="F160" s="64">
        <f>'Cash Flow %s Yr5'!F159*'Cash Flow $s Yr4'!$O160</f>
        <v>0</v>
      </c>
      <c r="G160" s="64">
        <f>'Cash Flow %s Yr5'!G159*'Cash Flow $s Yr4'!$O160</f>
        <v>0</v>
      </c>
      <c r="H160" s="64">
        <f>'Cash Flow %s Yr5'!H159*'Cash Flow $s Yr4'!$O160</f>
        <v>0</v>
      </c>
      <c r="I160" s="64">
        <f>'Cash Flow %s Yr5'!I159*'Cash Flow $s Yr4'!$O160</f>
        <v>0</v>
      </c>
      <c r="J160" s="64">
        <f>'Cash Flow %s Yr5'!J159*'Cash Flow $s Yr4'!$O160</f>
        <v>0</v>
      </c>
      <c r="K160" s="64">
        <f>'Cash Flow %s Yr5'!K159*'Cash Flow $s Yr4'!$O160</f>
        <v>0</v>
      </c>
      <c r="L160" s="64">
        <f>'Cash Flow %s Yr5'!L159*'Cash Flow $s Yr4'!$O160</f>
        <v>0</v>
      </c>
      <c r="M160" s="64">
        <f>'Cash Flow %s Yr5'!M159*'Cash Flow $s Yr4'!$O160</f>
        <v>0</v>
      </c>
      <c r="N160" s="64">
        <f>'Cash Flow %s Yr5'!N159*'Cash Flow $s Yr4'!$O160</f>
        <v>0</v>
      </c>
      <c r="O160" s="64">
        <f>'Cash Flow %s Yr5'!O159*'Cash Flow $s Yr4'!$O160</f>
        <v>0</v>
      </c>
      <c r="P160" s="191">
        <f>P51</f>
        <v>69202.949830418584</v>
      </c>
      <c r="Q160" s="191">
        <f>Q51</f>
        <v>10515.433467422808</v>
      </c>
      <c r="R160" s="191">
        <f>R51</f>
        <v>0</v>
      </c>
    </row>
    <row r="161" spans="1:18" s="31" customFormat="1" x14ac:dyDescent="0.2">
      <c r="A161" s="36"/>
      <c r="B161" s="66"/>
      <c r="C161" s="135" t="str">
        <f>'Cash Flow %s Yr5'!C160</f>
        <v>Accounts Payable</v>
      </c>
      <c r="D161" s="64">
        <f>'Cash Flow %s Yr5'!D160*'Cash Flow $s Yr4'!$O161</f>
        <v>0</v>
      </c>
      <c r="E161" s="64">
        <f>'Cash Flow %s Yr5'!E160*'Cash Flow $s Yr4'!$O161</f>
        <v>0</v>
      </c>
      <c r="F161" s="64">
        <f>'Cash Flow %s Yr5'!F160*'Cash Flow $s Yr4'!$O161</f>
        <v>0</v>
      </c>
      <c r="G161" s="64">
        <f>'Cash Flow %s Yr5'!G160*'Cash Flow $s Yr4'!$O161</f>
        <v>0</v>
      </c>
      <c r="H161" s="64">
        <f>'Cash Flow %s Yr5'!H160*'Cash Flow $s Yr4'!$O161</f>
        <v>0</v>
      </c>
      <c r="I161" s="64">
        <f>'Cash Flow %s Yr5'!I160*'Cash Flow $s Yr4'!$O161</f>
        <v>0</v>
      </c>
      <c r="J161" s="64">
        <f>'Cash Flow %s Yr5'!J160*'Cash Flow $s Yr4'!$O161</f>
        <v>0</v>
      </c>
      <c r="K161" s="64">
        <f>'Cash Flow %s Yr5'!K160*'Cash Flow $s Yr4'!$O161</f>
        <v>0</v>
      </c>
      <c r="L161" s="64">
        <f>'Cash Flow %s Yr5'!L160*'Cash Flow $s Yr4'!$O161</f>
        <v>0</v>
      </c>
      <c r="M161" s="64">
        <f>'Cash Flow %s Yr5'!M160*'Cash Flow $s Yr4'!$O161</f>
        <v>0</v>
      </c>
      <c r="N161" s="64">
        <f>'Cash Flow %s Yr5'!N160*'Cash Flow $s Yr4'!$O161</f>
        <v>0</v>
      </c>
      <c r="O161" s="64">
        <f>'Cash Flow %s Yr5'!O160*'Cash Flow $s Yr4'!$O161</f>
        <v>0</v>
      </c>
      <c r="P161" s="103"/>
      <c r="Q161" s="103"/>
      <c r="R161" s="103"/>
    </row>
    <row r="162" spans="1:18" s="31" customFormat="1" x14ac:dyDescent="0.2">
      <c r="A162" s="36"/>
      <c r="B162" s="66"/>
      <c r="C162" s="135" t="str">
        <f>'Cash Flow %s Yr5'!C161</f>
        <v>Loan Principal Payable</v>
      </c>
      <c r="D162" s="64"/>
      <c r="E162" s="64"/>
      <c r="F162" s="64"/>
      <c r="G162" s="64"/>
      <c r="H162" s="64"/>
      <c r="I162" s="64"/>
      <c r="J162" s="64"/>
      <c r="K162" s="64"/>
      <c r="L162" s="64"/>
      <c r="M162" s="64"/>
      <c r="N162" s="64"/>
      <c r="O162" s="64"/>
      <c r="P162" s="103"/>
      <c r="Q162" s="103"/>
      <c r="R162" s="103"/>
    </row>
    <row r="163" spans="1:18" s="31" customFormat="1" x14ac:dyDescent="0.2">
      <c r="A163" s="36"/>
      <c r="B163" s="124"/>
      <c r="C163" s="34" t="s">
        <v>725</v>
      </c>
      <c r="D163" s="85" t="e">
        <f>D159+D160-D161-D162</f>
        <v>#REF!</v>
      </c>
      <c r="E163" s="85">
        <f t="shared" ref="E163:O163" si="14">E159+E160-E161-E162</f>
        <v>0</v>
      </c>
      <c r="F163" s="85">
        <f t="shared" si="14"/>
        <v>0</v>
      </c>
      <c r="G163" s="85">
        <f t="shared" si="14"/>
        <v>0</v>
      </c>
      <c r="H163" s="85">
        <f t="shared" si="14"/>
        <v>0</v>
      </c>
      <c r="I163" s="85">
        <f t="shared" si="14"/>
        <v>0</v>
      </c>
      <c r="J163" s="85">
        <f t="shared" si="14"/>
        <v>0</v>
      </c>
      <c r="K163" s="85">
        <f t="shared" si="14"/>
        <v>0</v>
      </c>
      <c r="L163" s="85">
        <f t="shared" si="14"/>
        <v>0</v>
      </c>
      <c r="M163" s="85">
        <f t="shared" si="14"/>
        <v>0</v>
      </c>
      <c r="N163" s="85">
        <f t="shared" si="14"/>
        <v>0</v>
      </c>
      <c r="O163" s="85">
        <f t="shared" si="14"/>
        <v>0</v>
      </c>
      <c r="P163" s="108"/>
      <c r="Q163" s="108"/>
      <c r="R163" s="108"/>
    </row>
    <row r="164" spans="1:18" s="40" customFormat="1" ht="17" thickBot="1" x14ac:dyDescent="0.25">
      <c r="A164" s="36"/>
      <c r="C164" s="1"/>
      <c r="D164" s="95"/>
      <c r="E164" s="95"/>
      <c r="F164" s="95"/>
      <c r="G164" s="95"/>
      <c r="H164" s="95"/>
      <c r="I164" s="95"/>
      <c r="J164" s="95"/>
      <c r="K164" s="95"/>
      <c r="L164" s="95"/>
      <c r="M164" s="95"/>
      <c r="N164" s="95"/>
      <c r="O164" s="95"/>
      <c r="P164" s="95"/>
      <c r="Q164" s="95"/>
      <c r="R164" s="95"/>
    </row>
    <row r="165" spans="1:18" s="40" customFormat="1" ht="17" thickBot="1" x14ac:dyDescent="0.25">
      <c r="A165" s="74" t="s">
        <v>831</v>
      </c>
      <c r="B165" s="131"/>
      <c r="C165" s="75"/>
      <c r="D165" s="151" t="e">
        <f t="shared" ref="D165:O165" si="15">D51-D156</f>
        <v>#REF!</v>
      </c>
      <c r="E165" s="151" t="e">
        <f t="shared" si="15"/>
        <v>#REF!</v>
      </c>
      <c r="F165" s="151" t="e">
        <f t="shared" si="15"/>
        <v>#REF!</v>
      </c>
      <c r="G165" s="151" t="e">
        <f t="shared" si="15"/>
        <v>#REF!</v>
      </c>
      <c r="H165" s="151" t="e">
        <f t="shared" si="15"/>
        <v>#REF!</v>
      </c>
      <c r="I165" s="151" t="e">
        <f t="shared" si="15"/>
        <v>#REF!</v>
      </c>
      <c r="J165" s="151" t="e">
        <f t="shared" si="15"/>
        <v>#REF!</v>
      </c>
      <c r="K165" s="151" t="e">
        <f t="shared" si="15"/>
        <v>#REF!</v>
      </c>
      <c r="L165" s="151" t="e">
        <f t="shared" si="15"/>
        <v>#REF!</v>
      </c>
      <c r="M165" s="151" t="e">
        <f t="shared" si="15"/>
        <v>#REF!</v>
      </c>
      <c r="N165" s="151" t="e">
        <f t="shared" si="15"/>
        <v>#REF!</v>
      </c>
      <c r="O165" s="152" t="e">
        <f t="shared" si="15"/>
        <v>#REF!</v>
      </c>
      <c r="P165" s="95"/>
      <c r="Q165" s="95"/>
      <c r="R165" s="95"/>
    </row>
    <row r="166" spans="1:18" s="40" customFormat="1" ht="17" thickBot="1" x14ac:dyDescent="0.25">
      <c r="A166" s="36"/>
      <c r="C166" s="1"/>
      <c r="D166" s="153"/>
      <c r="E166" s="153"/>
      <c r="F166" s="153"/>
      <c r="G166" s="153"/>
      <c r="H166" s="153"/>
      <c r="I166" s="153"/>
      <c r="J166" s="153"/>
      <c r="K166" s="153"/>
      <c r="L166" s="153"/>
      <c r="M166" s="153"/>
      <c r="N166" s="153"/>
      <c r="O166" s="153"/>
      <c r="P166" s="95"/>
      <c r="Q166" s="95"/>
      <c r="R166" s="95"/>
    </row>
    <row r="167" spans="1:18" s="40" customFormat="1" ht="17" thickBot="1" x14ac:dyDescent="0.25">
      <c r="A167" s="74" t="s">
        <v>822</v>
      </c>
      <c r="B167" s="131"/>
      <c r="C167" s="75"/>
      <c r="D167" s="151" t="e">
        <f>D163+D165</f>
        <v>#REF!</v>
      </c>
      <c r="E167" s="151" t="e">
        <f t="shared" ref="E167:O167" si="16">E163+E165</f>
        <v>#REF!</v>
      </c>
      <c r="F167" s="151" t="e">
        <f t="shared" si="16"/>
        <v>#REF!</v>
      </c>
      <c r="G167" s="151" t="e">
        <f t="shared" si="16"/>
        <v>#REF!</v>
      </c>
      <c r="H167" s="151" t="e">
        <f t="shared" si="16"/>
        <v>#REF!</v>
      </c>
      <c r="I167" s="151" t="e">
        <f t="shared" si="16"/>
        <v>#REF!</v>
      </c>
      <c r="J167" s="151" t="e">
        <f t="shared" si="16"/>
        <v>#REF!</v>
      </c>
      <c r="K167" s="151" t="e">
        <f t="shared" si="16"/>
        <v>#REF!</v>
      </c>
      <c r="L167" s="151" t="e">
        <f t="shared" si="16"/>
        <v>#REF!</v>
      </c>
      <c r="M167" s="151" t="e">
        <f t="shared" si="16"/>
        <v>#REF!</v>
      </c>
      <c r="N167" s="151" t="e">
        <f t="shared" si="16"/>
        <v>#REF!</v>
      </c>
      <c r="O167" s="152" t="e">
        <f t="shared" si="16"/>
        <v>#REF!</v>
      </c>
      <c r="P167" s="95"/>
      <c r="Q167" s="95"/>
      <c r="R167" s="95"/>
    </row>
    <row r="168" spans="1:18" s="40" customFormat="1" ht="17" thickBot="1" x14ac:dyDescent="0.25">
      <c r="A168" s="36"/>
      <c r="C168" s="1"/>
      <c r="D168" s="95"/>
      <c r="E168" s="95"/>
      <c r="F168" s="95"/>
      <c r="G168" s="95"/>
      <c r="H168" s="95"/>
      <c r="I168" s="95"/>
      <c r="J168" s="95"/>
      <c r="K168" s="95"/>
      <c r="L168" s="95"/>
      <c r="M168" s="95"/>
      <c r="N168" s="95"/>
      <c r="O168" s="95"/>
      <c r="P168" s="95"/>
      <c r="Q168" s="95"/>
      <c r="R168" s="95"/>
    </row>
    <row r="169" spans="1:18" s="40" customFormat="1" ht="17" thickBot="1" x14ac:dyDescent="0.25">
      <c r="A169" s="74" t="s">
        <v>832</v>
      </c>
      <c r="B169" s="131"/>
      <c r="C169" s="75"/>
      <c r="D169" s="151" t="e">
        <f>D167</f>
        <v>#REF!</v>
      </c>
      <c r="E169" s="151" t="e">
        <f>D169+E167</f>
        <v>#REF!</v>
      </c>
      <c r="F169" s="151" t="e">
        <f t="shared" ref="F169:O169" si="17">E169+F167</f>
        <v>#REF!</v>
      </c>
      <c r="G169" s="151" t="e">
        <f t="shared" si="17"/>
        <v>#REF!</v>
      </c>
      <c r="H169" s="151" t="e">
        <f t="shared" si="17"/>
        <v>#REF!</v>
      </c>
      <c r="I169" s="151" t="e">
        <f t="shared" si="17"/>
        <v>#REF!</v>
      </c>
      <c r="J169" s="151" t="e">
        <f t="shared" si="17"/>
        <v>#REF!</v>
      </c>
      <c r="K169" s="151" t="e">
        <f t="shared" si="17"/>
        <v>#REF!</v>
      </c>
      <c r="L169" s="151" t="e">
        <f t="shared" si="17"/>
        <v>#REF!</v>
      </c>
      <c r="M169" s="151" t="e">
        <f t="shared" si="17"/>
        <v>#REF!</v>
      </c>
      <c r="N169" s="151" t="e">
        <f t="shared" si="17"/>
        <v>#REF!</v>
      </c>
      <c r="O169" s="152" t="e">
        <f t="shared" si="17"/>
        <v>#REF!</v>
      </c>
      <c r="P169" s="95"/>
      <c r="Q169" s="95"/>
      <c r="R169" s="95"/>
    </row>
    <row r="170" spans="1:18" s="40" customFormat="1" x14ac:dyDescent="0.2">
      <c r="A170" s="36"/>
      <c r="C170" s="1"/>
      <c r="D170" s="95"/>
      <c r="E170" s="95"/>
      <c r="F170" s="95"/>
      <c r="G170" s="95"/>
      <c r="H170" s="95"/>
      <c r="I170" s="95"/>
      <c r="J170" s="95"/>
      <c r="K170" s="95"/>
      <c r="L170" s="95"/>
      <c r="M170" s="95"/>
      <c r="N170" s="95"/>
      <c r="O170" s="95"/>
      <c r="P170" s="95"/>
      <c r="Q170" s="95"/>
      <c r="R170" s="95"/>
    </row>
    <row r="171" spans="1:18" s="40" customFormat="1" x14ac:dyDescent="0.2">
      <c r="A171" s="36"/>
      <c r="C171" s="1"/>
      <c r="D171" s="95"/>
      <c r="E171" s="95"/>
      <c r="F171" s="95"/>
      <c r="G171" s="95"/>
      <c r="H171" s="95"/>
      <c r="I171" s="95"/>
      <c r="J171" s="95"/>
      <c r="K171" s="95"/>
      <c r="L171" s="95"/>
      <c r="M171" s="95"/>
      <c r="N171" s="95"/>
      <c r="O171" s="95"/>
      <c r="P171" s="95"/>
      <c r="Q171" s="95"/>
      <c r="R171" s="95"/>
    </row>
    <row r="172" spans="1:18" s="40" customFormat="1" x14ac:dyDescent="0.2">
      <c r="A172" s="36"/>
      <c r="C172" s="1"/>
      <c r="D172" s="95"/>
      <c r="E172" s="95"/>
      <c r="F172" s="95"/>
      <c r="G172" s="95"/>
      <c r="H172" s="95"/>
      <c r="I172" s="95"/>
      <c r="J172" s="95"/>
      <c r="K172" s="95"/>
      <c r="L172" s="95"/>
      <c r="M172" s="95"/>
      <c r="N172" s="95"/>
      <c r="O172" s="95"/>
      <c r="P172" s="95"/>
      <c r="Q172" s="95"/>
      <c r="R172" s="95"/>
    </row>
  </sheetData>
  <pageMargins left="0.25" right="0.25" top="0.5" bottom="0.5" header="0.25" footer="0.25"/>
  <pageSetup scale="53" fitToHeight="3" orientation="landscape" r:id="rId1"/>
  <headerFooter alignWithMargins="0">
    <oddHeader>&amp;A</oddHeader>
    <oddFooter>Page &amp;P</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pane xSplit="3" ySplit="5" topLeftCell="D6" activePane="bottomRight" state="frozen"/>
      <selection activeCell="S2" sqref="S2"/>
      <selection pane="topRight" activeCell="S2" sqref="S2"/>
      <selection pane="bottomLeft" activeCell="S2" sqref="S2"/>
      <selection pane="bottomRight" activeCell="L1" sqref="L1"/>
    </sheetView>
  </sheetViews>
  <sheetFormatPr baseColWidth="10" defaultColWidth="8.83203125" defaultRowHeight="16" outlineLevelRow="1" x14ac:dyDescent="0.2"/>
  <cols>
    <col min="1" max="1" width="5.6640625" style="35" customWidth="1"/>
    <col min="2" max="2" width="5.1640625" style="40" customWidth="1"/>
    <col min="3" max="3" width="20" style="1" customWidth="1"/>
    <col min="4" max="15" width="12.5" style="95" customWidth="1"/>
    <col min="16" max="16" width="10.33203125" style="1" bestFit="1" customWidth="1"/>
    <col min="17" max="252" width="8.83203125" style="1"/>
    <col min="253" max="253" width="22.83203125" style="1" customWidth="1"/>
    <col min="254" max="508" width="8.83203125" style="1"/>
    <col min="509" max="509" width="22.83203125" style="1" customWidth="1"/>
    <col min="510" max="764" width="8.83203125" style="1"/>
    <col min="765" max="765" width="22.83203125" style="1" customWidth="1"/>
    <col min="766" max="1020" width="8.83203125" style="1"/>
    <col min="1021" max="1021" width="22.83203125" style="1" customWidth="1"/>
    <col min="1022" max="1276" width="8.83203125" style="1"/>
    <col min="1277" max="1277" width="22.83203125" style="1" customWidth="1"/>
    <col min="1278" max="1532" width="8.83203125" style="1"/>
    <col min="1533" max="1533" width="22.83203125" style="1" customWidth="1"/>
    <col min="1534" max="1788" width="8.83203125" style="1"/>
    <col min="1789" max="1789" width="22.83203125" style="1" customWidth="1"/>
    <col min="1790" max="2044" width="8.83203125" style="1"/>
    <col min="2045" max="2045" width="22.83203125" style="1" customWidth="1"/>
    <col min="2046" max="2300" width="8.83203125" style="1"/>
    <col min="2301" max="2301" width="22.83203125" style="1" customWidth="1"/>
    <col min="2302" max="2556" width="8.83203125" style="1"/>
    <col min="2557" max="2557" width="22.83203125" style="1" customWidth="1"/>
    <col min="2558" max="2812" width="8.83203125" style="1"/>
    <col min="2813" max="2813" width="22.83203125" style="1" customWidth="1"/>
    <col min="2814" max="3068" width="8.83203125" style="1"/>
    <col min="3069" max="3069" width="22.83203125" style="1" customWidth="1"/>
    <col min="3070" max="3324" width="8.83203125" style="1"/>
    <col min="3325" max="3325" width="22.83203125" style="1" customWidth="1"/>
    <col min="3326" max="3580" width="8.83203125" style="1"/>
    <col min="3581" max="3581" width="22.83203125" style="1" customWidth="1"/>
    <col min="3582" max="3836" width="8.83203125" style="1"/>
    <col min="3837" max="3837" width="22.83203125" style="1" customWidth="1"/>
    <col min="3838" max="4092" width="8.83203125" style="1"/>
    <col min="4093" max="4093" width="22.83203125" style="1" customWidth="1"/>
    <col min="4094" max="4348" width="8.83203125" style="1"/>
    <col min="4349" max="4349" width="22.83203125" style="1" customWidth="1"/>
    <col min="4350" max="4604" width="8.83203125" style="1"/>
    <col min="4605" max="4605" width="22.83203125" style="1" customWidth="1"/>
    <col min="4606" max="4860" width="8.83203125" style="1"/>
    <col min="4861" max="4861" width="22.83203125" style="1" customWidth="1"/>
    <col min="4862" max="5116" width="8.83203125" style="1"/>
    <col min="5117" max="5117" width="22.83203125" style="1" customWidth="1"/>
    <col min="5118" max="5372" width="8.83203125" style="1"/>
    <col min="5373" max="5373" width="22.83203125" style="1" customWidth="1"/>
    <col min="5374" max="5628" width="8.83203125" style="1"/>
    <col min="5629" max="5629" width="22.83203125" style="1" customWidth="1"/>
    <col min="5630" max="5884" width="8.83203125" style="1"/>
    <col min="5885" max="5885" width="22.83203125" style="1" customWidth="1"/>
    <col min="5886" max="6140" width="8.83203125" style="1"/>
    <col min="6141" max="6141" width="22.83203125" style="1" customWidth="1"/>
    <col min="6142" max="6396" width="8.83203125" style="1"/>
    <col min="6397" max="6397" width="22.83203125" style="1" customWidth="1"/>
    <col min="6398" max="6652" width="8.83203125" style="1"/>
    <col min="6653" max="6653" width="22.83203125" style="1" customWidth="1"/>
    <col min="6654" max="6908" width="8.83203125" style="1"/>
    <col min="6909" max="6909" width="22.83203125" style="1" customWidth="1"/>
    <col min="6910" max="7164" width="8.83203125" style="1"/>
    <col min="7165" max="7165" width="22.83203125" style="1" customWidth="1"/>
    <col min="7166" max="7420" width="8.83203125" style="1"/>
    <col min="7421" max="7421" width="22.83203125" style="1" customWidth="1"/>
    <col min="7422" max="7676" width="8.83203125" style="1"/>
    <col min="7677" max="7677" width="22.83203125" style="1" customWidth="1"/>
    <col min="7678" max="7932" width="8.83203125" style="1"/>
    <col min="7933" max="7933" width="22.83203125" style="1" customWidth="1"/>
    <col min="7934" max="8188" width="8.83203125" style="1"/>
    <col min="8189" max="8189" width="22.83203125" style="1" customWidth="1"/>
    <col min="8190" max="8444" width="8.83203125" style="1"/>
    <col min="8445" max="8445" width="22.83203125" style="1" customWidth="1"/>
    <col min="8446" max="8700" width="8.83203125" style="1"/>
    <col min="8701" max="8701" width="22.83203125" style="1" customWidth="1"/>
    <col min="8702" max="8956" width="8.83203125" style="1"/>
    <col min="8957" max="8957" width="22.83203125" style="1" customWidth="1"/>
    <col min="8958" max="9212" width="8.83203125" style="1"/>
    <col min="9213" max="9213" width="22.83203125" style="1" customWidth="1"/>
    <col min="9214" max="9468" width="8.83203125" style="1"/>
    <col min="9469" max="9469" width="22.83203125" style="1" customWidth="1"/>
    <col min="9470" max="9724" width="8.83203125" style="1"/>
    <col min="9725" max="9725" width="22.83203125" style="1" customWidth="1"/>
    <col min="9726" max="9980" width="8.83203125" style="1"/>
    <col min="9981" max="9981" width="22.83203125" style="1" customWidth="1"/>
    <col min="9982" max="10236" width="8.83203125" style="1"/>
    <col min="10237" max="10237" width="22.83203125" style="1" customWidth="1"/>
    <col min="10238" max="10492" width="8.83203125" style="1"/>
    <col min="10493" max="10493" width="22.83203125" style="1" customWidth="1"/>
    <col min="10494" max="10748" width="8.83203125" style="1"/>
    <col min="10749" max="10749" width="22.83203125" style="1" customWidth="1"/>
    <col min="10750" max="11004" width="8.83203125" style="1"/>
    <col min="11005" max="11005" width="22.83203125" style="1" customWidth="1"/>
    <col min="11006" max="11260" width="8.83203125" style="1"/>
    <col min="11261" max="11261" width="22.83203125" style="1" customWidth="1"/>
    <col min="11262" max="11516" width="8.83203125" style="1"/>
    <col min="11517" max="11517" width="22.83203125" style="1" customWidth="1"/>
    <col min="11518" max="11772" width="8.83203125" style="1"/>
    <col min="11773" max="11773" width="22.83203125" style="1" customWidth="1"/>
    <col min="11774" max="12028" width="8.83203125" style="1"/>
    <col min="12029" max="12029" width="22.83203125" style="1" customWidth="1"/>
    <col min="12030" max="12284" width="8.83203125" style="1"/>
    <col min="12285" max="12285" width="22.83203125" style="1" customWidth="1"/>
    <col min="12286" max="12540" width="8.83203125" style="1"/>
    <col min="12541" max="12541" width="22.83203125" style="1" customWidth="1"/>
    <col min="12542" max="12796" width="8.83203125" style="1"/>
    <col min="12797" max="12797" width="22.83203125" style="1" customWidth="1"/>
    <col min="12798" max="13052" width="8.83203125" style="1"/>
    <col min="13053" max="13053" width="22.83203125" style="1" customWidth="1"/>
    <col min="13054" max="13308" width="8.83203125" style="1"/>
    <col min="13309" max="13309" width="22.83203125" style="1" customWidth="1"/>
    <col min="13310" max="13564" width="8.83203125" style="1"/>
    <col min="13565" max="13565" width="22.83203125" style="1" customWidth="1"/>
    <col min="13566" max="13820" width="8.83203125" style="1"/>
    <col min="13821" max="13821" width="22.83203125" style="1" customWidth="1"/>
    <col min="13822" max="14076" width="8.83203125" style="1"/>
    <col min="14077" max="14077" width="22.83203125" style="1" customWidth="1"/>
    <col min="14078" max="14332" width="8.83203125" style="1"/>
    <col min="14333" max="14333" width="22.83203125" style="1" customWidth="1"/>
    <col min="14334" max="14588" width="8.83203125" style="1"/>
    <col min="14589" max="14589" width="22.83203125" style="1" customWidth="1"/>
    <col min="14590" max="14844" width="8.83203125" style="1"/>
    <col min="14845" max="14845" width="22.83203125" style="1" customWidth="1"/>
    <col min="14846" max="15100" width="8.83203125" style="1"/>
    <col min="15101" max="15101" width="22.83203125" style="1" customWidth="1"/>
    <col min="15102" max="15356" width="8.83203125" style="1"/>
    <col min="15357" max="15357" width="22.83203125" style="1" customWidth="1"/>
    <col min="15358" max="15612" width="8.83203125" style="1"/>
    <col min="15613" max="15613" width="22.83203125" style="1" customWidth="1"/>
    <col min="15614" max="15868" width="8.83203125" style="1"/>
    <col min="15869" max="15869" width="22.83203125" style="1" customWidth="1"/>
    <col min="15870" max="16124" width="8.83203125" style="1"/>
    <col min="16125" max="16125" width="22.83203125" style="1" customWidth="1"/>
    <col min="16126" max="16384" width="8.83203125" style="1"/>
  </cols>
  <sheetData>
    <row r="1" spans="1:17" ht="20" x14ac:dyDescent="0.2">
      <c r="A1" s="22" t="str">
        <f>'Student Info'!$A$1</f>
        <v>Three Rivers Charter School</v>
      </c>
    </row>
    <row r="2" spans="1:17" ht="18" x14ac:dyDescent="0.2">
      <c r="A2" s="21" t="s">
        <v>823</v>
      </c>
    </row>
    <row r="3" spans="1:17" ht="18" x14ac:dyDescent="0.2">
      <c r="A3" s="21" t="str">
        <f>'Student Info'!$A$3</f>
        <v>Five Year Budget, 2015-16 to 2019-20</v>
      </c>
    </row>
    <row r="4" spans="1:17" ht="18" x14ac:dyDescent="0.2">
      <c r="A4" s="21"/>
    </row>
    <row r="5" spans="1:17" ht="18" x14ac:dyDescent="0.2">
      <c r="A5" s="29"/>
      <c r="B5" s="41"/>
      <c r="C5" s="29"/>
      <c r="D5" s="96"/>
      <c r="E5" s="96"/>
      <c r="F5" s="96"/>
      <c r="G5" s="96"/>
      <c r="H5" s="96"/>
      <c r="I5" s="96"/>
      <c r="J5" s="96"/>
      <c r="K5" s="96"/>
      <c r="L5" s="96"/>
      <c r="M5" s="96"/>
      <c r="N5" s="96"/>
      <c r="O5" s="96"/>
    </row>
    <row r="6" spans="1:17" ht="18" x14ac:dyDescent="0.2">
      <c r="A6" s="21" t="str">
        <f>'Student Info'!D7</f>
        <v>2015-16</v>
      </c>
      <c r="B6" s="1"/>
      <c r="D6" s="31"/>
      <c r="F6" s="97"/>
      <c r="G6" s="97"/>
      <c r="H6" s="97"/>
      <c r="I6" s="31"/>
      <c r="J6" s="31"/>
      <c r="K6" s="97"/>
      <c r="L6" s="97"/>
      <c r="M6" s="97"/>
      <c r="N6" s="97"/>
      <c r="O6" s="97"/>
    </row>
    <row r="7" spans="1:17" ht="159.75" customHeight="1" x14ac:dyDescent="0.2">
      <c r="A7" s="47"/>
      <c r="B7" s="47"/>
      <c r="C7" s="47"/>
      <c r="D7" s="47"/>
      <c r="E7" s="47"/>
      <c r="F7" s="47"/>
      <c r="G7" s="47"/>
      <c r="H7" s="47"/>
      <c r="I7" s="47"/>
      <c r="J7" s="47"/>
      <c r="K7" s="47"/>
      <c r="L7" s="47"/>
      <c r="M7" s="47"/>
      <c r="N7" s="47"/>
      <c r="O7" s="47"/>
      <c r="P7" s="47"/>
      <c r="Q7" s="47"/>
    </row>
    <row r="8" spans="1:17" ht="159.75" customHeight="1" x14ac:dyDescent="0.2">
      <c r="A8" s="47"/>
      <c r="B8" s="47"/>
      <c r="C8" s="47"/>
      <c r="D8" s="47"/>
      <c r="E8" s="47"/>
      <c r="F8" s="47"/>
      <c r="G8" s="47"/>
      <c r="H8" s="47"/>
      <c r="I8" s="47"/>
      <c r="J8" s="47"/>
      <c r="K8" s="47"/>
      <c r="L8" s="47"/>
      <c r="M8" s="47"/>
      <c r="N8" s="47"/>
      <c r="O8" s="47"/>
      <c r="P8" s="47"/>
      <c r="Q8" s="47"/>
    </row>
    <row r="9" spans="1:17" ht="159.75" customHeight="1" x14ac:dyDescent="0.2">
      <c r="A9" s="47"/>
      <c r="B9" s="47"/>
      <c r="C9" s="47"/>
      <c r="D9" s="47"/>
      <c r="E9" s="47"/>
      <c r="F9" s="47"/>
      <c r="G9" s="47"/>
      <c r="H9" s="47"/>
      <c r="I9" s="47"/>
      <c r="J9" s="47"/>
      <c r="K9" s="47"/>
      <c r="L9" s="47"/>
      <c r="M9" s="47"/>
      <c r="N9" s="47"/>
      <c r="O9" s="47"/>
      <c r="P9" s="47"/>
      <c r="Q9" s="47"/>
    </row>
    <row r="10" spans="1:17" s="40" customFormat="1" ht="17" thickBot="1" x14ac:dyDescent="0.25">
      <c r="A10" s="3"/>
      <c r="C10" s="1"/>
      <c r="D10" s="145" t="s">
        <v>805</v>
      </c>
      <c r="E10" s="145" t="s">
        <v>806</v>
      </c>
      <c r="F10" s="145" t="s">
        <v>807</v>
      </c>
      <c r="G10" s="145" t="s">
        <v>808</v>
      </c>
      <c r="H10" s="145" t="s">
        <v>809</v>
      </c>
      <c r="I10" s="145" t="s">
        <v>810</v>
      </c>
      <c r="J10" s="145" t="s">
        <v>811</v>
      </c>
      <c r="K10" s="145" t="s">
        <v>812</v>
      </c>
      <c r="L10" s="145" t="s">
        <v>813</v>
      </c>
      <c r="M10" s="145" t="s">
        <v>814</v>
      </c>
      <c r="N10" s="145" t="s">
        <v>815</v>
      </c>
      <c r="O10" s="145" t="s">
        <v>816</v>
      </c>
    </row>
    <row r="11" spans="1:17" s="40" customFormat="1" ht="17" thickBot="1" x14ac:dyDescent="0.25">
      <c r="A11" s="144"/>
      <c r="B11" s="131"/>
      <c r="C11" s="146" t="str">
        <f>'Cash Flow $s Yr1'!A169</f>
        <v>Projected Monthly Cash Balance</v>
      </c>
      <c r="D11" s="147">
        <f>'Cash Flow $s Yr1'!D$169</f>
        <v>71717.082239417345</v>
      </c>
      <c r="E11" s="147">
        <f>'Cash Flow $s Yr1'!E$169</f>
        <v>83577.122546750674</v>
      </c>
      <c r="F11" s="147">
        <f>'Cash Flow $s Yr1'!F$169</f>
        <v>120125.01164075069</v>
      </c>
      <c r="G11" s="147">
        <f>'Cash Flow $s Yr1'!G$169</f>
        <v>119946.42073475069</v>
      </c>
      <c r="H11" s="147">
        <f>'Cash Flow $s Yr1'!H$169</f>
        <v>117435.38689797875</v>
      </c>
      <c r="I11" s="147">
        <f>'Cash Flow $s Yr1'!I$169</f>
        <v>200167.15099197873</v>
      </c>
      <c r="J11" s="147">
        <f>'Cash Flow $s Yr1'!J$169</f>
        <v>186579.25892023765</v>
      </c>
      <c r="K11" s="147">
        <f>'Cash Flow $s Yr1'!K$169</f>
        <v>224334.62983423762</v>
      </c>
      <c r="L11" s="147">
        <f>'Cash Flow $s Yr1'!L$169</f>
        <v>267798.17845823761</v>
      </c>
      <c r="M11" s="147">
        <f>'Cash Flow $s Yr1'!M$169</f>
        <v>269699.43091649655</v>
      </c>
      <c r="N11" s="147">
        <f>'Cash Flow $s Yr1'!N$169</f>
        <v>281841.17954049655</v>
      </c>
      <c r="O11" s="148">
        <f>'Cash Flow $s Yr1'!O$169</f>
        <v>247530.65249449655</v>
      </c>
    </row>
    <row r="12" spans="1:17" s="40" customFormat="1" hidden="1" outlineLevel="1" x14ac:dyDescent="0.2">
      <c r="A12" s="36"/>
      <c r="C12" s="1"/>
      <c r="D12" s="95"/>
      <c r="E12" s="95"/>
      <c r="F12" s="95"/>
      <c r="G12" s="95"/>
      <c r="H12" s="95"/>
      <c r="I12" s="95"/>
      <c r="J12" s="95"/>
      <c r="K12" s="95"/>
      <c r="L12" s="95"/>
      <c r="M12" s="95"/>
      <c r="N12" s="95"/>
      <c r="O12" s="95"/>
    </row>
    <row r="13" spans="1:17" s="40" customFormat="1" ht="18" hidden="1" outlineLevel="1" x14ac:dyDescent="0.2">
      <c r="A13" s="21" t="str">
        <f>'Student Info'!E7</f>
        <v>2016-17</v>
      </c>
      <c r="C13" s="1"/>
      <c r="D13" s="31"/>
      <c r="E13" s="95"/>
      <c r="F13" s="97"/>
      <c r="G13" s="97"/>
      <c r="H13" s="97"/>
      <c r="I13" s="31"/>
      <c r="J13" s="31"/>
      <c r="K13" s="97"/>
      <c r="L13" s="97"/>
      <c r="M13" s="97"/>
      <c r="N13" s="97"/>
      <c r="O13" s="97"/>
    </row>
    <row r="14" spans="1:17" s="40" customFormat="1" ht="150.75" hidden="1" customHeight="1" outlineLevel="1" x14ac:dyDescent="0.2">
      <c r="A14" s="47"/>
      <c r="B14" s="47"/>
      <c r="C14" s="47"/>
      <c r="D14" s="47"/>
      <c r="E14" s="47"/>
      <c r="F14" s="47"/>
      <c r="G14" s="47"/>
      <c r="H14" s="47"/>
      <c r="I14" s="47"/>
      <c r="J14" s="47"/>
      <c r="K14" s="47"/>
      <c r="L14" s="47"/>
      <c r="M14" s="47"/>
      <c r="N14" s="47"/>
      <c r="O14" s="47"/>
    </row>
    <row r="15" spans="1:17" s="40" customFormat="1" ht="150.75" hidden="1" customHeight="1" outlineLevel="1" x14ac:dyDescent="0.2">
      <c r="A15" s="47"/>
      <c r="B15" s="47"/>
      <c r="C15" s="47"/>
      <c r="D15" s="47"/>
      <c r="E15" s="47"/>
      <c r="F15" s="47"/>
      <c r="G15" s="47"/>
      <c r="H15" s="47"/>
      <c r="I15" s="47"/>
      <c r="J15" s="47"/>
      <c r="K15" s="47"/>
      <c r="L15" s="47"/>
      <c r="M15" s="47"/>
      <c r="N15" s="47"/>
      <c r="O15" s="47"/>
    </row>
    <row r="16" spans="1:17" s="40" customFormat="1" ht="150.75" hidden="1" customHeight="1" outlineLevel="1" x14ac:dyDescent="0.2">
      <c r="A16" s="47"/>
      <c r="B16" s="47"/>
      <c r="C16" s="47"/>
      <c r="D16" s="47"/>
      <c r="E16" s="47"/>
      <c r="F16" s="47"/>
      <c r="G16" s="47"/>
      <c r="H16" s="47"/>
      <c r="I16" s="47"/>
      <c r="J16" s="47"/>
      <c r="K16" s="47"/>
      <c r="L16" s="47"/>
      <c r="M16" s="47"/>
      <c r="N16" s="47"/>
      <c r="O16" s="47"/>
    </row>
    <row r="17" spans="1:15" s="40" customFormat="1" ht="17" hidden="1" outlineLevel="1" thickBot="1" x14ac:dyDescent="0.25">
      <c r="A17" s="3"/>
      <c r="C17" s="1"/>
      <c r="D17" s="145" t="s">
        <v>805</v>
      </c>
      <c r="E17" s="145" t="s">
        <v>806</v>
      </c>
      <c r="F17" s="145" t="s">
        <v>807</v>
      </c>
      <c r="G17" s="145" t="s">
        <v>808</v>
      </c>
      <c r="H17" s="145" t="s">
        <v>809</v>
      </c>
      <c r="I17" s="145" t="s">
        <v>810</v>
      </c>
      <c r="J17" s="145" t="s">
        <v>811</v>
      </c>
      <c r="K17" s="145" t="s">
        <v>812</v>
      </c>
      <c r="L17" s="145" t="s">
        <v>813</v>
      </c>
      <c r="M17" s="145" t="s">
        <v>814</v>
      </c>
      <c r="N17" s="145" t="s">
        <v>815</v>
      </c>
      <c r="O17" s="145" t="s">
        <v>816</v>
      </c>
    </row>
    <row r="18" spans="1:15" s="40" customFormat="1" ht="17" hidden="1" outlineLevel="1" thickBot="1" x14ac:dyDescent="0.25">
      <c r="A18" s="144"/>
      <c r="B18" s="131"/>
      <c r="C18" s="146" t="str">
        <f>$C$11</f>
        <v>Projected Monthly Cash Balance</v>
      </c>
      <c r="D18" s="147" t="e">
        <f>'Cash Flow $s Yr2'!D$169</f>
        <v>#REF!</v>
      </c>
      <c r="E18" s="147" t="e">
        <f>'Cash Flow $s Yr2'!E$169</f>
        <v>#REF!</v>
      </c>
      <c r="F18" s="147" t="e">
        <f>'Cash Flow $s Yr2'!F$169</f>
        <v>#REF!</v>
      </c>
      <c r="G18" s="147" t="e">
        <f>'Cash Flow $s Yr2'!G$169</f>
        <v>#REF!</v>
      </c>
      <c r="H18" s="147" t="e">
        <f>'Cash Flow $s Yr2'!H$169</f>
        <v>#REF!</v>
      </c>
      <c r="I18" s="147" t="e">
        <f>'Cash Flow $s Yr2'!I$169</f>
        <v>#REF!</v>
      </c>
      <c r="J18" s="147" t="e">
        <f>'Cash Flow $s Yr2'!J$169</f>
        <v>#REF!</v>
      </c>
      <c r="K18" s="147" t="e">
        <f>'Cash Flow $s Yr2'!K$169</f>
        <v>#REF!</v>
      </c>
      <c r="L18" s="147" t="e">
        <f>'Cash Flow $s Yr2'!L$169</f>
        <v>#REF!</v>
      </c>
      <c r="M18" s="147" t="e">
        <f>'Cash Flow $s Yr2'!M$169</f>
        <v>#REF!</v>
      </c>
      <c r="N18" s="147" t="e">
        <f>'Cash Flow $s Yr2'!N$169</f>
        <v>#REF!</v>
      </c>
      <c r="O18" s="148" t="e">
        <f>'Cash Flow $s Yr2'!O$169</f>
        <v>#REF!</v>
      </c>
    </row>
    <row r="19" spans="1:15" hidden="1" outlineLevel="1" x14ac:dyDescent="0.2"/>
    <row r="20" spans="1:15" ht="18" hidden="1" outlineLevel="1" x14ac:dyDescent="0.2">
      <c r="A20" s="21" t="str">
        <f>'Student Info'!F7</f>
        <v>2017-18</v>
      </c>
      <c r="B20" s="1"/>
      <c r="D20" s="31"/>
      <c r="F20" s="97"/>
      <c r="G20" s="97"/>
      <c r="H20" s="97"/>
      <c r="I20" s="31"/>
      <c r="J20" s="31"/>
      <c r="K20" s="97"/>
      <c r="L20" s="97"/>
      <c r="M20" s="97"/>
      <c r="N20" s="97"/>
      <c r="O20" s="97"/>
    </row>
    <row r="21" spans="1:15" ht="159" hidden="1" customHeight="1" outlineLevel="1" x14ac:dyDescent="0.2">
      <c r="A21" s="47"/>
      <c r="B21" s="47"/>
      <c r="C21" s="47"/>
      <c r="D21" s="47"/>
      <c r="E21" s="47"/>
      <c r="F21" s="47"/>
      <c r="G21" s="47"/>
      <c r="H21" s="47"/>
      <c r="I21" s="47"/>
      <c r="J21" s="47"/>
      <c r="K21" s="47"/>
      <c r="L21" s="47"/>
      <c r="M21" s="47"/>
      <c r="N21" s="47"/>
      <c r="O21" s="47"/>
    </row>
    <row r="22" spans="1:15" ht="159" hidden="1" customHeight="1" outlineLevel="1" x14ac:dyDescent="0.2">
      <c r="A22" s="47"/>
      <c r="B22" s="47"/>
      <c r="C22" s="47"/>
      <c r="D22" s="47"/>
      <c r="E22" s="47"/>
      <c r="F22" s="47"/>
      <c r="G22" s="47"/>
      <c r="H22" s="47"/>
      <c r="I22" s="47"/>
      <c r="J22" s="47"/>
      <c r="K22" s="47"/>
      <c r="L22" s="47"/>
      <c r="M22" s="47"/>
      <c r="N22" s="47"/>
      <c r="O22" s="47"/>
    </row>
    <row r="23" spans="1:15" ht="159" hidden="1" customHeight="1" outlineLevel="1" x14ac:dyDescent="0.2">
      <c r="A23" s="47"/>
      <c r="B23" s="47"/>
      <c r="C23" s="47"/>
      <c r="D23" s="47"/>
      <c r="E23" s="47"/>
      <c r="F23" s="47"/>
      <c r="G23" s="47"/>
      <c r="H23" s="47"/>
      <c r="I23" s="47"/>
      <c r="J23" s="47"/>
      <c r="K23" s="47"/>
      <c r="L23" s="47"/>
      <c r="M23" s="47"/>
      <c r="N23" s="47"/>
      <c r="O23" s="47"/>
    </row>
    <row r="24" spans="1:15" ht="17" hidden="1" outlineLevel="1" thickBot="1" x14ac:dyDescent="0.25">
      <c r="A24" s="3"/>
      <c r="D24" s="145" t="s">
        <v>805</v>
      </c>
      <c r="E24" s="145" t="s">
        <v>806</v>
      </c>
      <c r="F24" s="145" t="s">
        <v>807</v>
      </c>
      <c r="G24" s="145" t="s">
        <v>808</v>
      </c>
      <c r="H24" s="145" t="s">
        <v>809</v>
      </c>
      <c r="I24" s="145" t="s">
        <v>810</v>
      </c>
      <c r="J24" s="145" t="s">
        <v>811</v>
      </c>
      <c r="K24" s="145" t="s">
        <v>812</v>
      </c>
      <c r="L24" s="145" t="s">
        <v>813</v>
      </c>
      <c r="M24" s="145" t="s">
        <v>814</v>
      </c>
      <c r="N24" s="145" t="s">
        <v>815</v>
      </c>
      <c r="O24" s="145" t="s">
        <v>816</v>
      </c>
    </row>
    <row r="25" spans="1:15" ht="17" hidden="1" outlineLevel="1" thickBot="1" x14ac:dyDescent="0.25">
      <c r="A25" s="144"/>
      <c r="B25" s="131"/>
      <c r="C25" s="146" t="str">
        <f>$C$11</f>
        <v>Projected Monthly Cash Balance</v>
      </c>
      <c r="D25" s="155" t="e">
        <f>'Cash Flow $s Yr3'!D$169</f>
        <v>#REF!</v>
      </c>
      <c r="E25" s="147" t="e">
        <f>'Cash Flow $s Yr3'!E$169</f>
        <v>#REF!</v>
      </c>
      <c r="F25" s="147" t="e">
        <f>'Cash Flow $s Yr3'!F$169</f>
        <v>#REF!</v>
      </c>
      <c r="G25" s="147" t="e">
        <f>'Cash Flow $s Yr3'!G$169</f>
        <v>#REF!</v>
      </c>
      <c r="H25" s="147" t="e">
        <f>'Cash Flow $s Yr3'!H$169</f>
        <v>#REF!</v>
      </c>
      <c r="I25" s="147" t="e">
        <f>'Cash Flow $s Yr3'!I$169</f>
        <v>#REF!</v>
      </c>
      <c r="J25" s="147" t="e">
        <f>'Cash Flow $s Yr3'!J$169</f>
        <v>#REF!</v>
      </c>
      <c r="K25" s="147" t="e">
        <f>'Cash Flow $s Yr3'!K$169</f>
        <v>#REF!</v>
      </c>
      <c r="L25" s="147" t="e">
        <f>'Cash Flow $s Yr3'!L$169</f>
        <v>#REF!</v>
      </c>
      <c r="M25" s="147" t="e">
        <f>'Cash Flow $s Yr3'!M$169</f>
        <v>#REF!</v>
      </c>
      <c r="N25" s="147" t="e">
        <f>'Cash Flow $s Yr3'!N$169</f>
        <v>#REF!</v>
      </c>
      <c r="O25" s="148" t="e">
        <f>'Cash Flow $s Yr3'!O$169</f>
        <v>#REF!</v>
      </c>
    </row>
    <row r="26" spans="1:15" hidden="1" outlineLevel="1" x14ac:dyDescent="0.2"/>
    <row r="27" spans="1:15" ht="18" hidden="1" outlineLevel="1" x14ac:dyDescent="0.2">
      <c r="A27" s="21" t="str">
        <f>'Student Info'!G7</f>
        <v>2018-19</v>
      </c>
      <c r="B27" s="1"/>
      <c r="D27" s="31"/>
      <c r="F27" s="97"/>
      <c r="G27" s="97"/>
      <c r="H27" s="97"/>
      <c r="I27" s="31"/>
      <c r="J27" s="31"/>
      <c r="K27" s="97"/>
      <c r="L27" s="97"/>
      <c r="M27" s="97"/>
      <c r="N27" s="97"/>
      <c r="O27" s="97"/>
    </row>
    <row r="28" spans="1:15" ht="159" hidden="1" customHeight="1" outlineLevel="1" x14ac:dyDescent="0.2">
      <c r="A28" s="47"/>
      <c r="B28" s="47"/>
      <c r="C28" s="47"/>
      <c r="D28" s="47"/>
      <c r="E28" s="47"/>
      <c r="F28" s="47"/>
      <c r="G28" s="47"/>
      <c r="H28" s="47"/>
      <c r="I28" s="47"/>
      <c r="J28" s="47"/>
      <c r="K28" s="47"/>
      <c r="L28" s="47"/>
      <c r="M28" s="47"/>
      <c r="N28" s="47"/>
      <c r="O28" s="47"/>
    </row>
    <row r="29" spans="1:15" ht="159" hidden="1" customHeight="1" outlineLevel="1" x14ac:dyDescent="0.2">
      <c r="A29" s="47"/>
      <c r="B29" s="47"/>
      <c r="C29" s="47"/>
      <c r="D29" s="47"/>
      <c r="E29" s="47"/>
      <c r="F29" s="47"/>
      <c r="G29" s="47"/>
      <c r="H29" s="47"/>
      <c r="I29" s="47"/>
      <c r="J29" s="47"/>
      <c r="K29" s="47"/>
      <c r="L29" s="47"/>
      <c r="M29" s="47"/>
      <c r="N29" s="47"/>
      <c r="O29" s="47"/>
    </row>
    <row r="30" spans="1:15" ht="159" hidden="1" customHeight="1" outlineLevel="1" x14ac:dyDescent="0.2">
      <c r="A30" s="47"/>
      <c r="B30" s="47"/>
      <c r="C30" s="47"/>
      <c r="D30" s="47"/>
      <c r="E30" s="47"/>
      <c r="F30" s="47"/>
      <c r="G30" s="47"/>
      <c r="H30" s="47"/>
      <c r="I30" s="47"/>
      <c r="J30" s="47"/>
      <c r="K30" s="47"/>
      <c r="L30" s="47"/>
      <c r="M30" s="47"/>
      <c r="N30" s="47"/>
      <c r="O30" s="47"/>
    </row>
    <row r="31" spans="1:15" ht="17" hidden="1" outlineLevel="1" thickBot="1" x14ac:dyDescent="0.25">
      <c r="A31" s="3"/>
      <c r="D31" s="145" t="s">
        <v>805</v>
      </c>
      <c r="E31" s="145" t="s">
        <v>806</v>
      </c>
      <c r="F31" s="145" t="s">
        <v>807</v>
      </c>
      <c r="G31" s="145" t="s">
        <v>808</v>
      </c>
      <c r="H31" s="145" t="s">
        <v>809</v>
      </c>
      <c r="I31" s="145" t="s">
        <v>810</v>
      </c>
      <c r="J31" s="145" t="s">
        <v>811</v>
      </c>
      <c r="K31" s="145" t="s">
        <v>812</v>
      </c>
      <c r="L31" s="145" t="s">
        <v>813</v>
      </c>
      <c r="M31" s="145" t="s">
        <v>814</v>
      </c>
      <c r="N31" s="145" t="s">
        <v>815</v>
      </c>
      <c r="O31" s="145" t="s">
        <v>816</v>
      </c>
    </row>
    <row r="32" spans="1:15" ht="17" hidden="1" outlineLevel="1" thickBot="1" x14ac:dyDescent="0.25">
      <c r="A32" s="144"/>
      <c r="B32" s="131"/>
      <c r="C32" s="146" t="str">
        <f>$C$11</f>
        <v>Projected Monthly Cash Balance</v>
      </c>
      <c r="D32" s="155" t="e">
        <f>'Cash Flow $s Yr4'!D$169</f>
        <v>#REF!</v>
      </c>
      <c r="E32" s="147" t="e">
        <f>'Cash Flow $s Yr4'!E$169</f>
        <v>#REF!</v>
      </c>
      <c r="F32" s="147" t="e">
        <f>'Cash Flow $s Yr4'!F$169</f>
        <v>#REF!</v>
      </c>
      <c r="G32" s="147" t="e">
        <f>'Cash Flow $s Yr4'!G$169</f>
        <v>#REF!</v>
      </c>
      <c r="H32" s="147" t="e">
        <f>'Cash Flow $s Yr4'!H$169</f>
        <v>#REF!</v>
      </c>
      <c r="I32" s="147" t="e">
        <f>'Cash Flow $s Yr4'!I$169</f>
        <v>#REF!</v>
      </c>
      <c r="J32" s="147" t="e">
        <f>'Cash Flow $s Yr4'!J$169</f>
        <v>#REF!</v>
      </c>
      <c r="K32" s="147" t="e">
        <f>'Cash Flow $s Yr4'!K$169</f>
        <v>#REF!</v>
      </c>
      <c r="L32" s="147" t="e">
        <f>'Cash Flow $s Yr4'!L$169</f>
        <v>#REF!</v>
      </c>
      <c r="M32" s="147" t="e">
        <f>'Cash Flow $s Yr4'!M$169</f>
        <v>#REF!</v>
      </c>
      <c r="N32" s="147" t="e">
        <f>'Cash Flow $s Yr4'!N$169</f>
        <v>#REF!</v>
      </c>
      <c r="O32" s="148" t="e">
        <f>'Cash Flow $s Yr4'!O$169</f>
        <v>#REF!</v>
      </c>
    </row>
    <row r="33" spans="1:17" hidden="1" outlineLevel="1" x14ac:dyDescent="0.2"/>
    <row r="34" spans="1:17" ht="18" hidden="1" outlineLevel="1" x14ac:dyDescent="0.2">
      <c r="A34" s="21" t="str">
        <f>'Student Info'!H7</f>
        <v>2019-20</v>
      </c>
      <c r="B34" s="1"/>
      <c r="D34" s="31"/>
      <c r="F34" s="97"/>
      <c r="G34" s="97"/>
      <c r="H34" s="97"/>
      <c r="I34" s="31"/>
      <c r="J34" s="31"/>
      <c r="K34" s="97"/>
      <c r="L34" s="97"/>
      <c r="M34" s="97"/>
      <c r="N34" s="97"/>
      <c r="O34" s="97"/>
    </row>
    <row r="35" spans="1:17" ht="159.75" hidden="1" customHeight="1" outlineLevel="1" x14ac:dyDescent="0.2">
      <c r="A35" s="47"/>
      <c r="B35" s="47"/>
      <c r="C35" s="47"/>
      <c r="D35" s="47"/>
      <c r="E35" s="47"/>
      <c r="F35" s="47"/>
      <c r="G35" s="47"/>
      <c r="H35" s="47"/>
      <c r="I35" s="47"/>
      <c r="J35" s="47"/>
      <c r="K35" s="47"/>
      <c r="L35" s="47"/>
      <c r="M35" s="47"/>
      <c r="N35" s="47"/>
      <c r="O35" s="47"/>
    </row>
    <row r="36" spans="1:17" ht="159.75" hidden="1" customHeight="1" outlineLevel="1" x14ac:dyDescent="0.2">
      <c r="A36" s="47"/>
      <c r="B36" s="47"/>
      <c r="C36" s="47"/>
      <c r="D36" s="47"/>
      <c r="E36" s="47"/>
      <c r="F36" s="47"/>
      <c r="G36" s="47"/>
      <c r="H36" s="47"/>
      <c r="I36" s="47"/>
      <c r="J36" s="47"/>
      <c r="K36" s="47"/>
      <c r="L36" s="47"/>
      <c r="M36" s="47"/>
      <c r="N36" s="47"/>
      <c r="O36" s="47"/>
    </row>
    <row r="37" spans="1:17" ht="159.75" hidden="1" customHeight="1" outlineLevel="1" x14ac:dyDescent="0.2">
      <c r="A37" s="47"/>
      <c r="B37" s="47"/>
      <c r="C37" s="47"/>
      <c r="D37" s="47"/>
      <c r="E37" s="47"/>
      <c r="F37" s="47"/>
      <c r="G37" s="47"/>
      <c r="H37" s="47"/>
      <c r="I37" s="47"/>
      <c r="J37" s="47"/>
      <c r="K37" s="47"/>
      <c r="L37" s="47"/>
      <c r="M37" s="47"/>
      <c r="N37" s="47"/>
      <c r="O37" s="47"/>
    </row>
    <row r="38" spans="1:17" ht="17" hidden="1" outlineLevel="1" thickBot="1" x14ac:dyDescent="0.25">
      <c r="A38" s="3"/>
      <c r="D38" s="145" t="s">
        <v>805</v>
      </c>
      <c r="E38" s="145" t="s">
        <v>806</v>
      </c>
      <c r="F38" s="145" t="s">
        <v>807</v>
      </c>
      <c r="G38" s="145" t="s">
        <v>808</v>
      </c>
      <c r="H38" s="145" t="s">
        <v>809</v>
      </c>
      <c r="I38" s="145" t="s">
        <v>810</v>
      </c>
      <c r="J38" s="145" t="s">
        <v>811</v>
      </c>
      <c r="K38" s="145" t="s">
        <v>812</v>
      </c>
      <c r="L38" s="145" t="s">
        <v>813</v>
      </c>
      <c r="M38" s="145" t="s">
        <v>814</v>
      </c>
      <c r="N38" s="145" t="s">
        <v>815</v>
      </c>
      <c r="O38" s="145" t="s">
        <v>816</v>
      </c>
    </row>
    <row r="39" spans="1:17" ht="17" hidden="1" outlineLevel="1" thickBot="1" x14ac:dyDescent="0.25">
      <c r="A39" s="144"/>
      <c r="B39" s="131"/>
      <c r="C39" s="146" t="str">
        <f>$C$11</f>
        <v>Projected Monthly Cash Balance</v>
      </c>
      <c r="D39" s="155" t="e">
        <f>'Cash Flow $s Yr5'!D$169</f>
        <v>#REF!</v>
      </c>
      <c r="E39" s="147" t="e">
        <f>'Cash Flow $s Yr5'!E$169</f>
        <v>#REF!</v>
      </c>
      <c r="F39" s="147" t="e">
        <f>'Cash Flow $s Yr5'!F$169</f>
        <v>#REF!</v>
      </c>
      <c r="G39" s="147" t="e">
        <f>'Cash Flow $s Yr5'!G$169</f>
        <v>#REF!</v>
      </c>
      <c r="H39" s="147" t="e">
        <f>'Cash Flow $s Yr5'!H$169</f>
        <v>#REF!</v>
      </c>
      <c r="I39" s="147" t="e">
        <f>'Cash Flow $s Yr5'!I$169</f>
        <v>#REF!</v>
      </c>
      <c r="J39" s="147" t="e">
        <f>'Cash Flow $s Yr5'!J$169</f>
        <v>#REF!</v>
      </c>
      <c r="K39" s="147" t="e">
        <f>'Cash Flow $s Yr5'!K$169</f>
        <v>#REF!</v>
      </c>
      <c r="L39" s="147" t="e">
        <f>'Cash Flow $s Yr5'!L$169</f>
        <v>#REF!</v>
      </c>
      <c r="M39" s="147" t="e">
        <f>'Cash Flow $s Yr5'!M$169</f>
        <v>#REF!</v>
      </c>
      <c r="N39" s="147" t="e">
        <f>'Cash Flow $s Yr5'!N$169</f>
        <v>#REF!</v>
      </c>
      <c r="O39" s="148" t="e">
        <f>'Cash Flow $s Yr5'!O$169</f>
        <v>#REF!</v>
      </c>
    </row>
    <row r="40" spans="1:17" hidden="1" outlineLevel="1" x14ac:dyDescent="0.2"/>
    <row r="41" spans="1:17" ht="18" hidden="1" outlineLevel="1" x14ac:dyDescent="0.2">
      <c r="A41" s="21" t="s">
        <v>677</v>
      </c>
      <c r="B41" s="1"/>
      <c r="D41" s="31"/>
      <c r="F41" s="97"/>
      <c r="G41" s="97"/>
      <c r="H41" s="97"/>
      <c r="I41" s="31"/>
      <c r="J41" s="31"/>
      <c r="K41" s="97"/>
      <c r="L41" s="97"/>
      <c r="M41" s="97"/>
      <c r="N41" s="97"/>
      <c r="O41" s="97"/>
    </row>
    <row r="42" spans="1:17" ht="159.75" hidden="1" customHeight="1" outlineLevel="1" x14ac:dyDescent="0.2">
      <c r="A42" s="47"/>
      <c r="B42" s="47"/>
      <c r="C42" s="47"/>
      <c r="D42" s="47"/>
      <c r="E42" s="47"/>
      <c r="F42" s="47"/>
      <c r="G42" s="47"/>
      <c r="H42" s="47"/>
      <c r="I42" s="47"/>
      <c r="J42" s="47"/>
      <c r="K42" s="47"/>
      <c r="L42" s="47"/>
      <c r="M42" s="47"/>
      <c r="N42" s="47"/>
      <c r="O42" s="47"/>
      <c r="P42" s="47"/>
      <c r="Q42" s="47"/>
    </row>
    <row r="43" spans="1:17" ht="159.75" hidden="1" customHeight="1" outlineLevel="1" x14ac:dyDescent="0.2">
      <c r="A43" s="47"/>
      <c r="B43" s="47"/>
      <c r="C43" s="47"/>
      <c r="D43" s="47"/>
      <c r="E43" s="47"/>
      <c r="F43" s="47"/>
      <c r="G43" s="47"/>
      <c r="H43" s="47"/>
      <c r="I43" s="47"/>
      <c r="J43" s="47"/>
      <c r="K43" s="47"/>
      <c r="L43" s="47"/>
      <c r="M43" s="47"/>
      <c r="N43" s="47"/>
      <c r="O43" s="47"/>
      <c r="P43" s="47"/>
      <c r="Q43" s="47"/>
    </row>
    <row r="44" spans="1:17" ht="159.75" hidden="1" customHeight="1" outlineLevel="1" x14ac:dyDescent="0.2">
      <c r="A44" s="47"/>
      <c r="B44" s="47"/>
      <c r="C44" s="47"/>
      <c r="D44" s="47"/>
      <c r="E44" s="47"/>
      <c r="F44" s="47"/>
      <c r="G44" s="47"/>
      <c r="H44" s="47"/>
      <c r="I44" s="47"/>
      <c r="J44" s="47"/>
      <c r="K44" s="47"/>
      <c r="L44" s="47"/>
      <c r="M44" s="47"/>
      <c r="N44" s="47"/>
      <c r="O44" s="47"/>
      <c r="P44" s="47"/>
      <c r="Q44" s="47"/>
    </row>
    <row r="45" spans="1:17" s="40" customFormat="1" ht="17" hidden="1" outlineLevel="1" thickBot="1" x14ac:dyDescent="0.25">
      <c r="A45" s="3"/>
      <c r="C45" s="1"/>
      <c r="D45" s="145" t="s">
        <v>805</v>
      </c>
      <c r="E45" s="145" t="s">
        <v>806</v>
      </c>
      <c r="F45" s="145" t="s">
        <v>807</v>
      </c>
      <c r="G45" s="145" t="s">
        <v>808</v>
      </c>
      <c r="H45" s="145" t="s">
        <v>809</v>
      </c>
      <c r="I45" s="145" t="s">
        <v>810</v>
      </c>
      <c r="J45" s="145" t="s">
        <v>811</v>
      </c>
      <c r="K45" s="145" t="s">
        <v>812</v>
      </c>
      <c r="L45" s="145" t="s">
        <v>813</v>
      </c>
      <c r="M45" s="145" t="s">
        <v>814</v>
      </c>
      <c r="N45" s="145" t="s">
        <v>815</v>
      </c>
      <c r="O45" s="145" t="s">
        <v>816</v>
      </c>
    </row>
    <row r="46" spans="1:17" s="40" customFormat="1" ht="17" hidden="1" outlineLevel="1" thickBot="1" x14ac:dyDescent="0.25">
      <c r="A46" s="144"/>
      <c r="B46" s="131"/>
      <c r="C46" s="146" t="str">
        <f>$C$11</f>
        <v>Projected Monthly Cash Balance</v>
      </c>
      <c r="D46" s="147" t="e">
        <f>SUM(D39,D32,D25,D18,D11)</f>
        <v>#REF!</v>
      </c>
      <c r="E46" s="147" t="e">
        <f t="shared" ref="E46:O46" si="0">SUM(E39,E32,E25,E18,E11)</f>
        <v>#REF!</v>
      </c>
      <c r="F46" s="147" t="e">
        <f t="shared" si="0"/>
        <v>#REF!</v>
      </c>
      <c r="G46" s="147" t="e">
        <f t="shared" si="0"/>
        <v>#REF!</v>
      </c>
      <c r="H46" s="147" t="e">
        <f t="shared" si="0"/>
        <v>#REF!</v>
      </c>
      <c r="I46" s="147" t="e">
        <f t="shared" si="0"/>
        <v>#REF!</v>
      </c>
      <c r="J46" s="147" t="e">
        <f t="shared" si="0"/>
        <v>#REF!</v>
      </c>
      <c r="K46" s="147" t="e">
        <f t="shared" si="0"/>
        <v>#REF!</v>
      </c>
      <c r="L46" s="147" t="e">
        <f t="shared" si="0"/>
        <v>#REF!</v>
      </c>
      <c r="M46" s="147" t="e">
        <f t="shared" si="0"/>
        <v>#REF!</v>
      </c>
      <c r="N46" s="147" t="e">
        <f t="shared" si="0"/>
        <v>#REF!</v>
      </c>
      <c r="O46" s="148" t="e">
        <f t="shared" si="0"/>
        <v>#REF!</v>
      </c>
    </row>
    <row r="47" spans="1:17" hidden="1" outlineLevel="1" x14ac:dyDescent="0.2"/>
    <row r="48" spans="1:17" hidden="1" outlineLevel="1" x14ac:dyDescent="0.2"/>
    <row r="49" hidden="1" outlineLevel="1" x14ac:dyDescent="0.2"/>
    <row r="50" hidden="1" outlineLevel="1" x14ac:dyDescent="0.2"/>
    <row r="51" hidden="1" outlineLevel="1" x14ac:dyDescent="0.2"/>
    <row r="52" hidden="1" outlineLevel="1" x14ac:dyDescent="0.2"/>
    <row r="53" hidden="1" outlineLevel="1" x14ac:dyDescent="0.2"/>
    <row r="54" hidden="1" outlineLevel="1" x14ac:dyDescent="0.2"/>
    <row r="55" hidden="1" outlineLevel="1" x14ac:dyDescent="0.2"/>
    <row r="56" hidden="1" outlineLevel="1" x14ac:dyDescent="0.2"/>
    <row r="57" collapsed="1" x14ac:dyDescent="0.2"/>
  </sheetData>
  <pageMargins left="0.25" right="0.25" top="0.5" bottom="0.5" header="0.25" footer="0.25"/>
  <pageSetup scale="74" fitToHeight="5" orientation="landscape" r:id="rId1"/>
  <headerFooter alignWithMargins="0">
    <oddHeader>&amp;A</oddHeader>
    <oddFooter>Page &amp;P</oddFooter>
  </headerFooter>
  <rowBreaks count="5" manualBreakCount="5">
    <brk id="11" max="16383" man="1"/>
    <brk id="18" max="16383" man="1"/>
    <brk id="25" max="16383" man="1"/>
    <brk id="32" max="16383" man="1"/>
    <brk id="39"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opLeftCell="A31" workbookViewId="0">
      <selection activeCell="C47" sqref="C47"/>
    </sheetView>
  </sheetViews>
  <sheetFormatPr baseColWidth="10" defaultColWidth="37" defaultRowHeight="15" x14ac:dyDescent="0.2"/>
  <cols>
    <col min="1" max="1" width="7.5" bestFit="1" customWidth="1"/>
    <col min="2" max="2" width="56.6640625" bestFit="1" customWidth="1"/>
    <col min="3" max="3" width="74.5" customWidth="1"/>
    <col min="4" max="4" width="20.1640625" customWidth="1"/>
    <col min="5" max="5" width="11.6640625" bestFit="1" customWidth="1"/>
  </cols>
  <sheetData>
    <row r="1" spans="1:6" x14ac:dyDescent="0.2">
      <c r="A1" s="202" t="s">
        <v>567</v>
      </c>
      <c r="B1" s="202" t="s">
        <v>568</v>
      </c>
    </row>
    <row r="2" spans="1:6" x14ac:dyDescent="0.2">
      <c r="A2" s="202" t="s">
        <v>10</v>
      </c>
      <c r="B2" s="202" t="s">
        <v>569</v>
      </c>
      <c r="C2" s="203"/>
    </row>
    <row r="3" spans="1:6" x14ac:dyDescent="0.2">
      <c r="A3" s="202" t="s">
        <v>712</v>
      </c>
      <c r="B3" s="202" t="s">
        <v>570</v>
      </c>
    </row>
    <row r="4" spans="1:6" x14ac:dyDescent="0.2">
      <c r="A4" s="202" t="s">
        <v>556</v>
      </c>
      <c r="B4" s="202" t="s">
        <v>571</v>
      </c>
      <c r="D4" s="203" t="s">
        <v>957</v>
      </c>
    </row>
    <row r="5" spans="1:6" x14ac:dyDescent="0.2">
      <c r="A5" s="202" t="s">
        <v>12</v>
      </c>
      <c r="B5" s="202" t="s">
        <v>572</v>
      </c>
    </row>
    <row r="6" spans="1:6" x14ac:dyDescent="0.2">
      <c r="A6" s="202" t="s">
        <v>14</v>
      </c>
      <c r="B6" s="202" t="s">
        <v>573</v>
      </c>
      <c r="D6" s="204" t="s">
        <v>958</v>
      </c>
      <c r="E6" s="203"/>
    </row>
    <row r="7" spans="1:6" x14ac:dyDescent="0.2">
      <c r="A7" s="202" t="s">
        <v>713</v>
      </c>
      <c r="B7" s="202" t="s">
        <v>574</v>
      </c>
      <c r="D7" s="204" t="s">
        <v>959</v>
      </c>
      <c r="E7" s="203"/>
    </row>
    <row r="8" spans="1:6" x14ac:dyDescent="0.2">
      <c r="A8" s="202" t="s">
        <v>16</v>
      </c>
      <c r="B8" s="202" t="s">
        <v>575</v>
      </c>
      <c r="D8" s="204" t="s">
        <v>960</v>
      </c>
      <c r="E8" s="203"/>
    </row>
    <row r="9" spans="1:6" x14ac:dyDescent="0.2">
      <c r="A9" s="202" t="s">
        <v>714</v>
      </c>
      <c r="B9" s="202" t="s">
        <v>576</v>
      </c>
      <c r="D9" s="204" t="s">
        <v>961</v>
      </c>
      <c r="E9" s="203"/>
    </row>
    <row r="10" spans="1:6" x14ac:dyDescent="0.2">
      <c r="A10" s="202" t="s">
        <v>18</v>
      </c>
      <c r="B10" s="202" t="s">
        <v>577</v>
      </c>
      <c r="D10" s="204" t="s">
        <v>962</v>
      </c>
      <c r="E10" s="203"/>
    </row>
    <row r="11" spans="1:6" x14ac:dyDescent="0.2">
      <c r="A11" s="202" t="s">
        <v>557</v>
      </c>
      <c r="B11" s="202" t="s">
        <v>578</v>
      </c>
      <c r="D11" s="204" t="s">
        <v>963</v>
      </c>
      <c r="E11" s="203"/>
      <c r="F11" s="203"/>
    </row>
    <row r="12" spans="1:6" x14ac:dyDescent="0.2">
      <c r="A12" s="202" t="s">
        <v>20</v>
      </c>
      <c r="B12" s="202" t="s">
        <v>579</v>
      </c>
      <c r="D12" s="204" t="s">
        <v>964</v>
      </c>
      <c r="E12" s="203"/>
    </row>
    <row r="13" spans="1:6" x14ac:dyDescent="0.2">
      <c r="A13" s="202" t="s">
        <v>715</v>
      </c>
      <c r="B13" s="202" t="s">
        <v>580</v>
      </c>
    </row>
    <row r="14" spans="1:6" x14ac:dyDescent="0.2">
      <c r="A14" s="202" t="s">
        <v>22</v>
      </c>
      <c r="B14" s="202" t="s">
        <v>581</v>
      </c>
    </row>
    <row r="15" spans="1:6" x14ac:dyDescent="0.2">
      <c r="A15" s="202" t="s">
        <v>24</v>
      </c>
      <c r="B15" s="202" t="s">
        <v>582</v>
      </c>
    </row>
    <row r="16" spans="1:6" x14ac:dyDescent="0.2">
      <c r="A16" s="202" t="s">
        <v>549</v>
      </c>
      <c r="B16" s="202" t="s">
        <v>583</v>
      </c>
    </row>
    <row r="17" spans="1:10" x14ac:dyDescent="0.2">
      <c r="A17" s="202" t="s">
        <v>26</v>
      </c>
      <c r="B17" s="202" t="s">
        <v>584</v>
      </c>
    </row>
    <row r="18" spans="1:10" x14ac:dyDescent="0.2">
      <c r="A18" s="202" t="s">
        <v>716</v>
      </c>
      <c r="B18" s="202" t="s">
        <v>585</v>
      </c>
    </row>
    <row r="19" spans="1:10" x14ac:dyDescent="0.2">
      <c r="A19" s="202" t="s">
        <v>717</v>
      </c>
      <c r="B19" s="202" t="s">
        <v>586</v>
      </c>
    </row>
    <row r="20" spans="1:10" x14ac:dyDescent="0.2">
      <c r="A20" s="202" t="s">
        <v>30</v>
      </c>
      <c r="B20" s="202" t="s">
        <v>587</v>
      </c>
    </row>
    <row r="21" spans="1:10" x14ac:dyDescent="0.2">
      <c r="A21" s="202" t="s">
        <v>38</v>
      </c>
      <c r="B21" s="202" t="s">
        <v>588</v>
      </c>
    </row>
    <row r="22" spans="1:10" x14ac:dyDescent="0.2">
      <c r="A22" s="205" t="s">
        <v>927</v>
      </c>
      <c r="B22" s="206" t="s">
        <v>928</v>
      </c>
      <c r="C22" s="207" t="s">
        <v>965</v>
      </c>
      <c r="D22" s="207"/>
      <c r="E22" s="207"/>
      <c r="F22" s="207"/>
      <c r="G22" s="208"/>
      <c r="H22" s="207"/>
      <c r="I22" s="208"/>
      <c r="J22" s="208"/>
    </row>
    <row r="23" spans="1:10" x14ac:dyDescent="0.2">
      <c r="A23" s="205" t="s">
        <v>929</v>
      </c>
      <c r="B23" s="206" t="s">
        <v>930</v>
      </c>
      <c r="C23" s="207" t="s">
        <v>966</v>
      </c>
      <c r="D23" s="209"/>
      <c r="E23" s="207"/>
      <c r="F23" s="210"/>
      <c r="G23" s="208"/>
      <c r="H23" s="208"/>
      <c r="I23" s="208"/>
      <c r="J23" s="208"/>
    </row>
    <row r="24" spans="1:10" ht="21.75" customHeight="1" x14ac:dyDescent="0.2">
      <c r="A24" s="202" t="s">
        <v>718</v>
      </c>
      <c r="B24" s="202" t="s">
        <v>589</v>
      </c>
      <c r="C24" s="207" t="s">
        <v>967</v>
      </c>
      <c r="D24" s="208"/>
      <c r="E24" s="208"/>
      <c r="F24" s="208"/>
      <c r="G24" s="208"/>
      <c r="H24" s="208"/>
      <c r="I24" s="208"/>
      <c r="J24" s="208"/>
    </row>
    <row r="25" spans="1:10" ht="30" customHeight="1" x14ac:dyDescent="0.2">
      <c r="A25" s="202" t="s">
        <v>719</v>
      </c>
      <c r="B25" s="202" t="s">
        <v>590</v>
      </c>
      <c r="C25" s="207" t="s">
        <v>968</v>
      </c>
      <c r="D25" s="208"/>
      <c r="E25" s="208"/>
      <c r="F25" s="208"/>
      <c r="G25" s="208"/>
      <c r="H25" s="208"/>
      <c r="I25" s="208"/>
      <c r="J25" s="208"/>
    </row>
    <row r="26" spans="1:10" x14ac:dyDescent="0.2">
      <c r="A26" s="202" t="s">
        <v>720</v>
      </c>
      <c r="B26" s="202" t="s">
        <v>591</v>
      </c>
      <c r="C26" s="207" t="s">
        <v>969</v>
      </c>
      <c r="D26" s="208"/>
      <c r="E26" s="208"/>
      <c r="F26" s="208"/>
      <c r="G26" s="208"/>
      <c r="H26" s="208"/>
      <c r="I26" s="208"/>
      <c r="J26" s="208"/>
    </row>
    <row r="27" spans="1:10" x14ac:dyDescent="0.2">
      <c r="A27" s="202" t="s">
        <v>936</v>
      </c>
      <c r="B27" s="202" t="s">
        <v>937</v>
      </c>
      <c r="C27" s="207"/>
      <c r="D27" s="208"/>
      <c r="E27" s="208"/>
      <c r="F27" s="208"/>
      <c r="G27" s="208"/>
      <c r="H27" s="208"/>
      <c r="I27" s="208"/>
      <c r="J27" s="208"/>
    </row>
    <row r="28" spans="1:10" x14ac:dyDescent="0.2">
      <c r="A28" s="202" t="s">
        <v>935</v>
      </c>
      <c r="B28" s="202" t="s">
        <v>970</v>
      </c>
      <c r="C28" s="207" t="s">
        <v>971</v>
      </c>
      <c r="D28" s="208"/>
      <c r="E28" s="208"/>
      <c r="F28" s="208"/>
      <c r="G28" s="208"/>
      <c r="H28" s="208"/>
      <c r="I28" s="208"/>
      <c r="J28" s="208"/>
    </row>
    <row r="29" spans="1:10" x14ac:dyDescent="0.2">
      <c r="A29" s="202" t="s">
        <v>86</v>
      </c>
      <c r="B29" s="202" t="s">
        <v>592</v>
      </c>
      <c r="C29" s="208"/>
      <c r="D29" s="208"/>
      <c r="E29" s="208"/>
      <c r="F29" s="208"/>
      <c r="G29" s="208"/>
      <c r="H29" s="208"/>
      <c r="I29" s="208"/>
      <c r="J29" s="208"/>
    </row>
    <row r="30" spans="1:10" x14ac:dyDescent="0.2">
      <c r="A30" s="202" t="s">
        <v>88</v>
      </c>
      <c r="B30" s="202" t="s">
        <v>593</v>
      </c>
      <c r="C30" s="208"/>
      <c r="D30" s="208"/>
      <c r="E30" s="208"/>
      <c r="F30" s="208"/>
      <c r="G30" s="208"/>
      <c r="H30" s="208"/>
      <c r="I30" s="208"/>
      <c r="J30" s="208"/>
    </row>
    <row r="31" spans="1:10" x14ac:dyDescent="0.2">
      <c r="A31" s="202" t="s">
        <v>839</v>
      </c>
      <c r="B31" s="202" t="s">
        <v>594</v>
      </c>
      <c r="C31" s="207" t="s">
        <v>972</v>
      </c>
      <c r="D31" s="208"/>
      <c r="E31" s="208"/>
      <c r="G31" s="208"/>
      <c r="H31" s="208"/>
      <c r="I31" s="208"/>
      <c r="J31" s="208"/>
    </row>
    <row r="32" spans="1:10" ht="27" x14ac:dyDescent="0.2">
      <c r="A32" s="202" t="s">
        <v>90</v>
      </c>
      <c r="B32" s="202" t="s">
        <v>595</v>
      </c>
      <c r="C32" s="207" t="s">
        <v>973</v>
      </c>
      <c r="D32" s="207"/>
      <c r="E32" s="208"/>
      <c r="G32" s="208"/>
      <c r="H32" s="208"/>
      <c r="I32" s="208"/>
      <c r="J32" s="208"/>
    </row>
    <row r="33" spans="1:10" x14ac:dyDescent="0.2">
      <c r="A33" s="202" t="s">
        <v>92</v>
      </c>
      <c r="B33" s="202" t="s">
        <v>596</v>
      </c>
      <c r="C33" s="207" t="s">
        <v>974</v>
      </c>
      <c r="D33" s="208"/>
      <c r="E33" s="208"/>
      <c r="F33" s="208"/>
      <c r="G33" s="208"/>
      <c r="H33" s="208"/>
      <c r="I33" s="208"/>
      <c r="J33" s="208"/>
    </row>
    <row r="34" spans="1:10" ht="31.5" customHeight="1" x14ac:dyDescent="0.2">
      <c r="A34" s="202" t="s">
        <v>679</v>
      </c>
      <c r="B34" s="205" t="s">
        <v>975</v>
      </c>
      <c r="C34" s="207" t="s">
        <v>976</v>
      </c>
      <c r="D34" s="208"/>
      <c r="E34" s="208"/>
      <c r="F34" s="208"/>
      <c r="G34" s="208"/>
      <c r="H34" s="208"/>
      <c r="I34" s="208"/>
      <c r="J34" s="208"/>
    </row>
    <row r="35" spans="1:10" x14ac:dyDescent="0.2">
      <c r="A35" s="202" t="s">
        <v>94</v>
      </c>
      <c r="B35" s="205" t="s">
        <v>941</v>
      </c>
      <c r="C35" s="207" t="s">
        <v>977</v>
      </c>
      <c r="D35" s="208"/>
      <c r="E35" s="208"/>
      <c r="F35" s="208"/>
      <c r="G35" s="208"/>
      <c r="H35" s="208"/>
      <c r="I35" s="208"/>
      <c r="J35" s="208"/>
    </row>
    <row r="36" spans="1:10" x14ac:dyDescent="0.2">
      <c r="A36" s="202" t="s">
        <v>98</v>
      </c>
      <c r="B36" s="202" t="s">
        <v>597</v>
      </c>
      <c r="C36" s="207" t="s">
        <v>978</v>
      </c>
      <c r="D36" s="208"/>
      <c r="E36" s="208"/>
      <c r="F36" s="208"/>
      <c r="G36" s="208"/>
      <c r="H36" s="208"/>
      <c r="I36" s="208"/>
      <c r="J36" s="208"/>
    </row>
    <row r="37" spans="1:10" x14ac:dyDescent="0.2">
      <c r="A37" s="202" t="s">
        <v>550</v>
      </c>
      <c r="B37" s="202" t="s">
        <v>598</v>
      </c>
      <c r="C37" s="208"/>
      <c r="D37" s="208"/>
      <c r="E37" s="208"/>
      <c r="F37" s="208"/>
      <c r="G37" s="208"/>
      <c r="H37" s="208"/>
      <c r="I37" s="208"/>
      <c r="J37" s="208"/>
    </row>
    <row r="38" spans="1:10" x14ac:dyDescent="0.2">
      <c r="A38" s="202" t="s">
        <v>100</v>
      </c>
      <c r="B38" s="202" t="s">
        <v>599</v>
      </c>
      <c r="C38" s="207" t="s">
        <v>979</v>
      </c>
      <c r="D38" s="208"/>
      <c r="E38" s="208"/>
      <c r="F38" s="208"/>
      <c r="G38" s="208"/>
      <c r="H38" s="208"/>
      <c r="I38" s="208"/>
      <c r="J38" s="208"/>
    </row>
    <row r="39" spans="1:10" x14ac:dyDescent="0.2">
      <c r="A39" s="202" t="s">
        <v>102</v>
      </c>
      <c r="B39" s="202" t="s">
        <v>600</v>
      </c>
      <c r="C39" s="207" t="s">
        <v>980</v>
      </c>
      <c r="D39" s="208"/>
      <c r="E39" s="208"/>
      <c r="F39" s="208"/>
      <c r="G39" s="208"/>
      <c r="H39" s="208"/>
      <c r="I39" s="208"/>
      <c r="J39" s="208"/>
    </row>
    <row r="40" spans="1:10" x14ac:dyDescent="0.2">
      <c r="A40" s="202" t="s">
        <v>108</v>
      </c>
      <c r="B40" s="202" t="s">
        <v>981</v>
      </c>
      <c r="C40" s="207" t="s">
        <v>982</v>
      </c>
      <c r="D40" s="208"/>
      <c r="E40" s="208"/>
      <c r="F40" s="208"/>
      <c r="G40" s="208"/>
      <c r="H40" s="208"/>
      <c r="I40" s="208"/>
      <c r="J40" s="208"/>
    </row>
    <row r="41" spans="1:10" x14ac:dyDescent="0.2">
      <c r="A41" s="202" t="s">
        <v>680</v>
      </c>
      <c r="B41" s="202" t="s">
        <v>602</v>
      </c>
      <c r="C41" s="207" t="s">
        <v>983</v>
      </c>
      <c r="D41" s="208"/>
      <c r="E41" s="208"/>
      <c r="F41" s="208"/>
      <c r="G41" s="208"/>
      <c r="H41" s="208"/>
      <c r="I41" s="208"/>
      <c r="J41" s="208"/>
    </row>
    <row r="42" spans="1:10" x14ac:dyDescent="0.2">
      <c r="A42" s="202" t="s">
        <v>681</v>
      </c>
      <c r="B42" s="202" t="s">
        <v>984</v>
      </c>
      <c r="C42" s="207" t="s">
        <v>985</v>
      </c>
      <c r="D42" s="208"/>
      <c r="E42" s="208"/>
      <c r="F42" s="208"/>
      <c r="G42" s="208"/>
      <c r="H42" s="208"/>
      <c r="I42" s="208"/>
      <c r="J42" s="208"/>
    </row>
    <row r="43" spans="1:10" x14ac:dyDescent="0.2">
      <c r="A43" s="202" t="s">
        <v>110</v>
      </c>
      <c r="B43" s="202" t="s">
        <v>603</v>
      </c>
      <c r="C43" s="208" t="s">
        <v>986</v>
      </c>
      <c r="D43" s="208"/>
      <c r="E43" s="208"/>
      <c r="F43" s="208"/>
      <c r="G43" s="208"/>
      <c r="H43" s="208"/>
      <c r="I43" s="208"/>
      <c r="J43" s="208"/>
    </row>
    <row r="44" spans="1:10" x14ac:dyDescent="0.2">
      <c r="A44" s="202" t="s">
        <v>682</v>
      </c>
      <c r="B44" s="202" t="s">
        <v>604</v>
      </c>
      <c r="C44" s="208" t="s">
        <v>987</v>
      </c>
      <c r="D44" s="208"/>
      <c r="E44" s="208"/>
      <c r="F44" s="208"/>
      <c r="G44" s="208"/>
      <c r="H44" s="208"/>
      <c r="I44" s="208"/>
      <c r="J44" s="208"/>
    </row>
    <row r="45" spans="1:10" x14ac:dyDescent="0.2">
      <c r="A45" s="202" t="s">
        <v>943</v>
      </c>
      <c r="B45" s="202" t="s">
        <v>944</v>
      </c>
      <c r="C45" s="208" t="s">
        <v>988</v>
      </c>
      <c r="D45" s="208"/>
      <c r="E45" s="208"/>
      <c r="F45" s="208"/>
      <c r="G45" s="208"/>
      <c r="H45" s="208"/>
      <c r="I45" s="208"/>
      <c r="J45" s="208"/>
    </row>
    <row r="46" spans="1:10" x14ac:dyDescent="0.2">
      <c r="A46" s="202" t="s">
        <v>551</v>
      </c>
      <c r="B46" s="202" t="s">
        <v>605</v>
      </c>
      <c r="C46" s="208"/>
      <c r="D46" s="208"/>
      <c r="E46" s="208"/>
      <c r="F46" s="208"/>
      <c r="G46" s="208"/>
      <c r="H46" s="208"/>
      <c r="I46" s="208"/>
      <c r="J46" s="208"/>
    </row>
    <row r="47" spans="1:10" x14ac:dyDescent="0.2">
      <c r="A47" s="202" t="s">
        <v>552</v>
      </c>
      <c r="B47" s="202" t="s">
        <v>606</v>
      </c>
      <c r="C47" s="208" t="s">
        <v>989</v>
      </c>
      <c r="D47" s="208"/>
      <c r="E47" s="208"/>
      <c r="F47" s="208"/>
      <c r="G47" s="208"/>
      <c r="H47" s="208"/>
      <c r="I47" s="208"/>
      <c r="J47" s="208"/>
    </row>
    <row r="48" spans="1:10" ht="27" x14ac:dyDescent="0.2">
      <c r="A48" s="202" t="s">
        <v>116</v>
      </c>
      <c r="B48" s="202" t="s">
        <v>607</v>
      </c>
      <c r="C48" s="207" t="s">
        <v>990</v>
      </c>
      <c r="D48" s="208"/>
      <c r="E48" s="208"/>
      <c r="F48" s="208"/>
      <c r="G48" s="208"/>
      <c r="H48" s="208"/>
      <c r="I48" s="208"/>
      <c r="J48" s="208"/>
    </row>
    <row r="49" spans="1:10" x14ac:dyDescent="0.2">
      <c r="A49" s="202" t="s">
        <v>683</v>
      </c>
      <c r="B49" s="202" t="s">
        <v>608</v>
      </c>
      <c r="C49" s="208"/>
      <c r="D49" s="208"/>
      <c r="E49" s="208"/>
      <c r="F49" s="208"/>
      <c r="G49" s="208"/>
      <c r="H49" s="208"/>
      <c r="I49" s="208"/>
      <c r="J49" s="208"/>
    </row>
    <row r="50" spans="1:10" x14ac:dyDescent="0.2">
      <c r="A50" s="202" t="s">
        <v>684</v>
      </c>
      <c r="B50" s="205" t="s">
        <v>945</v>
      </c>
      <c r="C50" s="208"/>
      <c r="D50" s="208"/>
      <c r="E50" s="208"/>
      <c r="F50" s="208"/>
      <c r="G50" s="208"/>
      <c r="H50" s="208"/>
      <c r="I50" s="208"/>
      <c r="J50" s="208"/>
    </row>
    <row r="51" spans="1:10" x14ac:dyDescent="0.2">
      <c r="A51" s="202" t="s">
        <v>553</v>
      </c>
      <c r="B51" s="202" t="s">
        <v>609</v>
      </c>
      <c r="C51" s="208"/>
      <c r="D51" s="208"/>
      <c r="E51" s="208"/>
      <c r="F51" s="208"/>
      <c r="G51" s="208"/>
      <c r="H51" s="208"/>
      <c r="I51" s="208"/>
      <c r="J51" s="208"/>
    </row>
    <row r="52" spans="1:10" x14ac:dyDescent="0.2">
      <c r="A52" s="206" t="s">
        <v>841</v>
      </c>
      <c r="B52" s="206" t="s">
        <v>991</v>
      </c>
      <c r="C52" s="207" t="s">
        <v>992</v>
      </c>
      <c r="D52" s="208"/>
      <c r="E52" s="208"/>
      <c r="F52" s="208"/>
      <c r="G52" s="208"/>
      <c r="H52" s="208"/>
      <c r="I52" s="208"/>
      <c r="J52" s="208"/>
    </row>
    <row r="53" spans="1:10" x14ac:dyDescent="0.2">
      <c r="A53" s="206" t="s">
        <v>843</v>
      </c>
      <c r="B53" s="206" t="s">
        <v>614</v>
      </c>
      <c r="C53" s="207" t="s">
        <v>993</v>
      </c>
      <c r="D53" s="208"/>
      <c r="E53" s="208"/>
      <c r="F53" s="208"/>
      <c r="G53" s="208"/>
      <c r="H53" s="208"/>
      <c r="I53" s="208"/>
      <c r="J53" s="208"/>
    </row>
    <row r="54" spans="1:10" x14ac:dyDescent="0.2">
      <c r="A54" s="205" t="s">
        <v>844</v>
      </c>
      <c r="B54" s="205" t="s">
        <v>994</v>
      </c>
      <c r="C54" s="207" t="s">
        <v>995</v>
      </c>
      <c r="D54" s="208"/>
      <c r="E54" s="208"/>
      <c r="F54" s="208"/>
      <c r="G54" s="208"/>
      <c r="H54" s="208"/>
      <c r="I54" s="208"/>
      <c r="J54" s="208"/>
    </row>
    <row r="55" spans="1:10" ht="31.5" customHeight="1" x14ac:dyDescent="0.2">
      <c r="A55" s="205" t="s">
        <v>846</v>
      </c>
      <c r="B55" s="205" t="s">
        <v>847</v>
      </c>
      <c r="C55" s="207" t="s">
        <v>996</v>
      </c>
      <c r="D55" s="208"/>
      <c r="E55" s="208"/>
      <c r="F55" s="208"/>
      <c r="G55" s="208"/>
      <c r="H55" s="208"/>
      <c r="I55" s="208"/>
      <c r="J55" s="208"/>
    </row>
    <row r="56" spans="1:10" x14ac:dyDescent="0.2">
      <c r="A56" s="205" t="s">
        <v>848</v>
      </c>
      <c r="B56" s="205" t="s">
        <v>997</v>
      </c>
      <c r="C56" s="207" t="s">
        <v>998</v>
      </c>
      <c r="D56" s="208"/>
      <c r="E56" s="208"/>
      <c r="F56" s="208"/>
      <c r="G56" s="208"/>
      <c r="H56" s="208"/>
      <c r="I56" s="208"/>
      <c r="J56" s="208"/>
    </row>
    <row r="57" spans="1:10" ht="21" customHeight="1" x14ac:dyDescent="0.2">
      <c r="A57" s="202" t="s">
        <v>118</v>
      </c>
      <c r="B57" s="202" t="s">
        <v>610</v>
      </c>
      <c r="C57" s="207" t="s">
        <v>999</v>
      </c>
      <c r="D57" s="208"/>
      <c r="E57" s="208"/>
      <c r="F57" s="208"/>
      <c r="G57" s="208"/>
      <c r="H57" s="208"/>
      <c r="I57" s="208"/>
      <c r="J57" s="208"/>
    </row>
    <row r="58" spans="1:10" ht="21" customHeight="1" x14ac:dyDescent="0.2">
      <c r="A58" s="205" t="s">
        <v>946</v>
      </c>
      <c r="B58" s="206" t="s">
        <v>947</v>
      </c>
      <c r="C58" s="207" t="s">
        <v>1000</v>
      </c>
      <c r="D58" s="208"/>
      <c r="E58" s="208"/>
      <c r="F58" s="208"/>
      <c r="G58" s="208"/>
      <c r="H58" s="208"/>
      <c r="I58" s="208"/>
      <c r="J58" s="208"/>
    </row>
    <row r="59" spans="1:10" x14ac:dyDescent="0.2">
      <c r="A59" s="202" t="s">
        <v>132</v>
      </c>
      <c r="B59" s="202" t="s">
        <v>611</v>
      </c>
      <c r="C59" s="208"/>
      <c r="D59" s="208"/>
      <c r="E59" s="208"/>
      <c r="F59" s="208"/>
      <c r="G59" s="208"/>
      <c r="H59" s="208"/>
      <c r="I59" s="208"/>
      <c r="J59" s="208"/>
    </row>
    <row r="60" spans="1:10" x14ac:dyDescent="0.2">
      <c r="A60" s="202" t="s">
        <v>685</v>
      </c>
      <c r="B60" s="202" t="s">
        <v>612</v>
      </c>
      <c r="C60" s="208"/>
      <c r="D60" s="208"/>
      <c r="E60" s="208"/>
      <c r="F60" s="208"/>
      <c r="G60" s="208"/>
      <c r="H60" s="208"/>
      <c r="I60" s="208"/>
      <c r="J60" s="208"/>
    </row>
    <row r="61" spans="1:10" x14ac:dyDescent="0.2">
      <c r="A61" s="202" t="s">
        <v>554</v>
      </c>
      <c r="B61" s="205" t="s">
        <v>613</v>
      </c>
      <c r="C61" s="208"/>
      <c r="D61" s="208"/>
      <c r="E61" s="208"/>
      <c r="F61" s="208"/>
      <c r="G61" s="208"/>
      <c r="H61" s="208"/>
      <c r="I61" s="208"/>
      <c r="J61" s="208"/>
    </row>
    <row r="62" spans="1:10" x14ac:dyDescent="0.2">
      <c r="A62" s="202" t="s">
        <v>184</v>
      </c>
      <c r="B62" s="202" t="s">
        <v>615</v>
      </c>
      <c r="C62" s="207" t="s">
        <v>1001</v>
      </c>
      <c r="D62" s="208"/>
      <c r="E62" s="208"/>
      <c r="F62" s="208"/>
      <c r="G62" s="208"/>
      <c r="H62" s="208"/>
      <c r="I62" s="208"/>
      <c r="J62" s="208"/>
    </row>
    <row r="63" spans="1:10" x14ac:dyDescent="0.2">
      <c r="A63" s="202" t="s">
        <v>561</v>
      </c>
      <c r="B63" s="202" t="s">
        <v>616</v>
      </c>
      <c r="C63" s="208"/>
      <c r="D63" s="208"/>
      <c r="E63" s="208"/>
      <c r="F63" s="208"/>
      <c r="G63" s="208"/>
      <c r="H63" s="208"/>
      <c r="I63" s="208"/>
      <c r="J63" s="208"/>
    </row>
    <row r="64" spans="1:10" x14ac:dyDescent="0.2">
      <c r="A64" s="202" t="s">
        <v>226</v>
      </c>
      <c r="B64" s="202" t="s">
        <v>617</v>
      </c>
      <c r="C64" s="208"/>
      <c r="D64" s="208"/>
      <c r="E64" s="208"/>
      <c r="F64" s="208"/>
      <c r="G64" s="208"/>
      <c r="H64" s="208"/>
      <c r="I64" s="208"/>
      <c r="J64" s="208"/>
    </row>
    <row r="65" spans="1:10" x14ac:dyDescent="0.2">
      <c r="A65" s="202" t="s">
        <v>228</v>
      </c>
      <c r="B65" s="202" t="s">
        <v>1002</v>
      </c>
      <c r="C65" s="207" t="s">
        <v>1003</v>
      </c>
      <c r="D65" s="208"/>
      <c r="E65" s="208"/>
      <c r="F65" s="208"/>
      <c r="G65" s="208"/>
      <c r="H65" s="208"/>
      <c r="I65" s="208"/>
      <c r="J65" s="208"/>
    </row>
    <row r="66" spans="1:10" x14ac:dyDescent="0.2">
      <c r="A66" s="202" t="s">
        <v>274</v>
      </c>
      <c r="B66" s="202" t="s">
        <v>618</v>
      </c>
      <c r="C66" s="208"/>
      <c r="D66" s="208"/>
      <c r="E66" s="208"/>
      <c r="F66" s="208"/>
      <c r="G66" s="208"/>
      <c r="H66" s="208"/>
      <c r="I66" s="208"/>
      <c r="J66" s="208"/>
    </row>
    <row r="67" spans="1:10" x14ac:dyDescent="0.2">
      <c r="A67" s="202" t="s">
        <v>278</v>
      </c>
      <c r="B67" s="202" t="s">
        <v>619</v>
      </c>
      <c r="C67" s="208"/>
      <c r="D67" s="208"/>
      <c r="E67" s="208"/>
      <c r="F67" s="208"/>
      <c r="G67" s="208"/>
      <c r="H67" s="208"/>
      <c r="I67" s="208"/>
      <c r="J67" s="208"/>
    </row>
    <row r="68" spans="1:10" ht="27" x14ac:dyDescent="0.2">
      <c r="A68" s="202" t="s">
        <v>292</v>
      </c>
      <c r="B68" s="202" t="s">
        <v>620</v>
      </c>
      <c r="C68" s="207" t="s">
        <v>1004</v>
      </c>
      <c r="D68" s="208"/>
      <c r="E68" s="208"/>
      <c r="F68" s="208"/>
      <c r="G68" s="208"/>
      <c r="H68" s="208"/>
      <c r="I68" s="208"/>
      <c r="J68" s="208"/>
    </row>
    <row r="69" spans="1:10" x14ac:dyDescent="0.2">
      <c r="A69" s="206" t="s">
        <v>686</v>
      </c>
      <c r="B69" s="206" t="s">
        <v>787</v>
      </c>
      <c r="C69" s="207" t="s">
        <v>1005</v>
      </c>
      <c r="D69" s="208"/>
      <c r="E69" s="208"/>
      <c r="F69" s="208"/>
      <c r="G69" s="208"/>
      <c r="H69" s="208"/>
      <c r="I69" s="208"/>
      <c r="J69" s="208"/>
    </row>
    <row r="70" spans="1:10" x14ac:dyDescent="0.2">
      <c r="A70" s="206" t="s">
        <v>687</v>
      </c>
      <c r="B70" s="206" t="s">
        <v>788</v>
      </c>
      <c r="C70" s="207" t="s">
        <v>1006</v>
      </c>
      <c r="D70" s="208"/>
      <c r="E70" s="208"/>
      <c r="F70" s="208"/>
      <c r="G70" s="208"/>
      <c r="H70" s="208"/>
      <c r="I70" s="208"/>
      <c r="J70" s="208"/>
    </row>
    <row r="71" spans="1:10" x14ac:dyDescent="0.2">
      <c r="A71" s="206" t="s">
        <v>688</v>
      </c>
      <c r="B71" s="206" t="s">
        <v>789</v>
      </c>
      <c r="C71" s="207" t="s">
        <v>1007</v>
      </c>
      <c r="D71" s="208"/>
      <c r="E71" s="208"/>
      <c r="F71" s="208"/>
      <c r="G71" s="208"/>
      <c r="H71" s="208"/>
      <c r="I71" s="208"/>
      <c r="J71" s="208"/>
    </row>
    <row r="72" spans="1:10" x14ac:dyDescent="0.2">
      <c r="A72" s="206" t="s">
        <v>689</v>
      </c>
      <c r="B72" s="206" t="s">
        <v>790</v>
      </c>
      <c r="C72" s="207" t="s">
        <v>1008</v>
      </c>
      <c r="D72" s="208"/>
      <c r="E72" s="208"/>
      <c r="F72" s="208"/>
      <c r="G72" s="208"/>
      <c r="H72" s="208"/>
      <c r="I72" s="208"/>
      <c r="J72" s="208"/>
    </row>
    <row r="73" spans="1:10" x14ac:dyDescent="0.2">
      <c r="A73" s="206" t="s">
        <v>690</v>
      </c>
      <c r="B73" s="206" t="s">
        <v>791</v>
      </c>
      <c r="C73" s="207" t="s">
        <v>1009</v>
      </c>
      <c r="D73" s="208"/>
      <c r="E73" s="208"/>
      <c r="F73" s="208"/>
      <c r="G73" s="208"/>
      <c r="H73" s="208"/>
      <c r="I73" s="208"/>
      <c r="J73" s="208"/>
    </row>
    <row r="74" spans="1:10" x14ac:dyDescent="0.2">
      <c r="A74" s="206" t="s">
        <v>948</v>
      </c>
      <c r="B74" s="206" t="s">
        <v>949</v>
      </c>
      <c r="C74" s="207" t="s">
        <v>1010</v>
      </c>
      <c r="D74" s="208"/>
      <c r="E74" s="208"/>
      <c r="F74" s="208"/>
      <c r="G74" s="208"/>
      <c r="H74" s="208"/>
      <c r="I74" s="208"/>
      <c r="J74" s="208"/>
    </row>
    <row r="75" spans="1:10" ht="29.25" customHeight="1" x14ac:dyDescent="0.2">
      <c r="A75" s="202" t="s">
        <v>294</v>
      </c>
      <c r="B75" s="205" t="s">
        <v>950</v>
      </c>
      <c r="C75" s="207" t="s">
        <v>1011</v>
      </c>
      <c r="D75" s="208"/>
      <c r="E75" s="208"/>
      <c r="F75" s="208"/>
      <c r="G75" s="208"/>
      <c r="H75" s="208"/>
      <c r="I75" s="208"/>
      <c r="J75" s="208"/>
    </row>
    <row r="76" spans="1:10" x14ac:dyDescent="0.2">
      <c r="A76" s="202" t="s">
        <v>300</v>
      </c>
      <c r="B76" s="202" t="s">
        <v>1012</v>
      </c>
      <c r="C76" s="208"/>
      <c r="D76" s="208"/>
      <c r="E76" s="208"/>
      <c r="F76" s="208"/>
      <c r="G76" s="208"/>
      <c r="H76" s="208"/>
      <c r="I76" s="208"/>
      <c r="J76" s="208"/>
    </row>
    <row r="77" spans="1:10" x14ac:dyDescent="0.2">
      <c r="A77" s="202" t="s">
        <v>304</v>
      </c>
      <c r="B77" s="202" t="s">
        <v>621</v>
      </c>
      <c r="C77" s="208"/>
      <c r="D77" s="208"/>
      <c r="E77" s="208"/>
      <c r="F77" s="208"/>
      <c r="G77" s="208"/>
      <c r="H77" s="208"/>
      <c r="I77" s="208"/>
      <c r="J77" s="208"/>
    </row>
    <row r="78" spans="1:10" x14ac:dyDescent="0.2">
      <c r="A78" s="202" t="s">
        <v>306</v>
      </c>
      <c r="B78" s="202" t="s">
        <v>622</v>
      </c>
      <c r="C78" s="208"/>
      <c r="D78" s="208"/>
      <c r="E78" s="208"/>
      <c r="F78" s="208"/>
      <c r="G78" s="208"/>
      <c r="H78" s="208"/>
      <c r="I78" s="208"/>
      <c r="J78" s="208"/>
    </row>
    <row r="79" spans="1:10" x14ac:dyDescent="0.2">
      <c r="A79" s="202" t="s">
        <v>316</v>
      </c>
      <c r="B79" s="202" t="s">
        <v>623</v>
      </c>
      <c r="C79" s="208"/>
      <c r="D79" s="208"/>
      <c r="E79" s="208"/>
      <c r="F79" s="208"/>
      <c r="G79" s="208"/>
      <c r="H79" s="208"/>
      <c r="I79" s="208"/>
      <c r="J79" s="208"/>
    </row>
    <row r="80" spans="1:10" x14ac:dyDescent="0.2">
      <c r="A80" s="202" t="s">
        <v>328</v>
      </c>
      <c r="B80" s="202" t="s">
        <v>624</v>
      </c>
      <c r="C80" s="208" t="s">
        <v>1013</v>
      </c>
      <c r="D80" s="208"/>
      <c r="E80" s="208"/>
      <c r="F80" s="208"/>
      <c r="G80" s="208"/>
      <c r="H80" s="208"/>
      <c r="I80" s="208"/>
      <c r="J80" s="208"/>
    </row>
    <row r="81" spans="1:10" x14ac:dyDescent="0.2">
      <c r="A81" s="206" t="s">
        <v>834</v>
      </c>
      <c r="B81" s="205" t="s">
        <v>1014</v>
      </c>
      <c r="C81" s="207" t="s">
        <v>1015</v>
      </c>
      <c r="D81" s="208"/>
      <c r="E81" s="208"/>
      <c r="F81" s="208"/>
      <c r="G81" s="208"/>
      <c r="H81" s="208"/>
      <c r="I81" s="208"/>
      <c r="J81" s="208"/>
    </row>
    <row r="82" spans="1:10" x14ac:dyDescent="0.2">
      <c r="A82" s="205" t="s">
        <v>837</v>
      </c>
      <c r="B82" s="205" t="s">
        <v>1016</v>
      </c>
      <c r="C82" s="207" t="s">
        <v>1017</v>
      </c>
      <c r="D82" s="208"/>
      <c r="E82" s="208"/>
      <c r="F82" s="208"/>
      <c r="G82" s="208"/>
      <c r="H82" s="208"/>
      <c r="I82" s="208"/>
      <c r="J82" s="208"/>
    </row>
    <row r="83" spans="1:10" x14ac:dyDescent="0.2">
      <c r="A83" s="205" t="s">
        <v>951</v>
      </c>
      <c r="B83" s="205" t="s">
        <v>952</v>
      </c>
      <c r="C83" s="207" t="s">
        <v>1018</v>
      </c>
      <c r="D83" s="208"/>
      <c r="E83" s="208"/>
      <c r="F83" s="208"/>
      <c r="G83" s="208"/>
      <c r="H83" s="208"/>
      <c r="I83" s="208"/>
      <c r="J83" s="208"/>
    </row>
    <row r="84" spans="1:10" x14ac:dyDescent="0.2">
      <c r="A84" s="202" t="s">
        <v>364</v>
      </c>
      <c r="B84" s="202" t="s">
        <v>625</v>
      </c>
      <c r="C84" s="208"/>
      <c r="D84" s="208"/>
      <c r="E84" s="208"/>
      <c r="F84" s="208"/>
      <c r="G84" s="208"/>
      <c r="H84" s="208"/>
      <c r="I84" s="208"/>
      <c r="J84" s="208"/>
    </row>
    <row r="85" spans="1:10" x14ac:dyDescent="0.2">
      <c r="A85" s="202" t="s">
        <v>266</v>
      </c>
      <c r="B85" s="202" t="s">
        <v>626</v>
      </c>
      <c r="C85" s="208"/>
      <c r="D85" s="208"/>
      <c r="E85" s="208"/>
      <c r="F85" s="208"/>
      <c r="G85" s="208"/>
      <c r="H85" s="208"/>
      <c r="I85" s="208"/>
      <c r="J85" s="208"/>
    </row>
    <row r="86" spans="1:10" x14ac:dyDescent="0.2">
      <c r="A86" s="211">
        <v>8782</v>
      </c>
      <c r="B86" s="202" t="s">
        <v>627</v>
      </c>
      <c r="C86" s="207" t="s">
        <v>1019</v>
      </c>
      <c r="D86" s="208"/>
      <c r="E86" s="208"/>
      <c r="F86" s="208"/>
      <c r="G86" s="208"/>
      <c r="H86" s="208"/>
      <c r="I86" s="208"/>
      <c r="J86" s="208"/>
    </row>
    <row r="87" spans="1:10" x14ac:dyDescent="0.2">
      <c r="A87" s="202" t="s">
        <v>691</v>
      </c>
      <c r="B87" s="202" t="s">
        <v>628</v>
      </c>
      <c r="C87" s="207" t="s">
        <v>1019</v>
      </c>
      <c r="D87" s="208"/>
      <c r="E87" s="208"/>
      <c r="F87" s="208"/>
      <c r="G87" s="208"/>
      <c r="H87" s="208"/>
      <c r="I87" s="208"/>
      <c r="J87" s="208"/>
    </row>
    <row r="88" spans="1:10" x14ac:dyDescent="0.2">
      <c r="A88" s="202" t="s">
        <v>402</v>
      </c>
      <c r="B88" s="202" t="s">
        <v>1020</v>
      </c>
      <c r="C88" s="207" t="s">
        <v>1021</v>
      </c>
      <c r="D88" s="208"/>
      <c r="E88" s="208"/>
      <c r="F88" s="208"/>
      <c r="G88" s="208"/>
      <c r="H88" s="208"/>
      <c r="I88" s="208"/>
      <c r="J88" s="208"/>
    </row>
    <row r="89" spans="1:10" x14ac:dyDescent="0.2">
      <c r="A89" s="206" t="s">
        <v>850</v>
      </c>
      <c r="B89" s="206" t="s">
        <v>997</v>
      </c>
      <c r="C89" s="207" t="s">
        <v>1022</v>
      </c>
      <c r="E89" s="208"/>
      <c r="F89" s="208"/>
      <c r="G89" s="208"/>
      <c r="H89" s="208"/>
      <c r="I89" s="208"/>
      <c r="J89" s="208"/>
    </row>
    <row r="90" spans="1:10" x14ac:dyDescent="0.2">
      <c r="A90" s="202" t="s">
        <v>440</v>
      </c>
      <c r="B90" s="202" t="s">
        <v>629</v>
      </c>
      <c r="C90" s="208"/>
      <c r="D90" s="208"/>
      <c r="E90" s="208"/>
      <c r="F90" s="208"/>
      <c r="G90" s="208"/>
      <c r="H90" s="208"/>
      <c r="I90" s="208"/>
      <c r="J90" s="208"/>
    </row>
    <row r="91" spans="1:10" x14ac:dyDescent="0.2">
      <c r="A91" s="202" t="s">
        <v>692</v>
      </c>
      <c r="B91" s="202" t="s">
        <v>1023</v>
      </c>
      <c r="C91" s="208"/>
      <c r="D91" s="208"/>
      <c r="E91" s="208"/>
      <c r="F91" s="208"/>
      <c r="G91" s="208"/>
      <c r="H91" s="208"/>
      <c r="I91" s="208"/>
      <c r="J91" s="208"/>
    </row>
    <row r="92" spans="1:10" ht="30" x14ac:dyDescent="0.2">
      <c r="A92" s="202" t="s">
        <v>693</v>
      </c>
      <c r="B92" s="202" t="s">
        <v>1024</v>
      </c>
      <c r="C92" s="208" t="s">
        <v>1025</v>
      </c>
      <c r="D92" s="208"/>
      <c r="E92" s="208"/>
      <c r="F92" s="208"/>
      <c r="G92" s="208"/>
      <c r="H92" s="208"/>
      <c r="I92" s="208"/>
      <c r="J92" s="208"/>
    </row>
    <row r="93" spans="1:10" x14ac:dyDescent="0.2">
      <c r="A93" s="202" t="s">
        <v>694</v>
      </c>
      <c r="B93" s="202" t="s">
        <v>631</v>
      </c>
      <c r="C93" s="208"/>
      <c r="D93" s="208"/>
      <c r="E93" s="208"/>
      <c r="F93" s="208"/>
      <c r="G93" s="208"/>
      <c r="H93" s="208"/>
      <c r="I93" s="208"/>
      <c r="J93" s="208"/>
    </row>
    <row r="94" spans="1:10" x14ac:dyDescent="0.2">
      <c r="A94" s="202" t="s">
        <v>695</v>
      </c>
      <c r="B94" s="202" t="s">
        <v>632</v>
      </c>
      <c r="C94" s="207" t="s">
        <v>1026</v>
      </c>
      <c r="D94" s="208"/>
      <c r="E94" s="208"/>
      <c r="F94" s="208"/>
      <c r="G94" s="208"/>
      <c r="H94" s="208"/>
      <c r="I94" s="208"/>
      <c r="J94" s="208"/>
    </row>
    <row r="95" spans="1:10" x14ac:dyDescent="0.2">
      <c r="A95" s="202" t="s">
        <v>696</v>
      </c>
      <c r="B95" s="202" t="s">
        <v>633</v>
      </c>
      <c r="C95" s="207" t="s">
        <v>1027</v>
      </c>
      <c r="D95" s="208"/>
      <c r="E95" s="208"/>
      <c r="F95" s="208"/>
      <c r="G95" s="208"/>
      <c r="H95" s="208"/>
      <c r="I95" s="208"/>
      <c r="J95" s="208"/>
    </row>
    <row r="96" spans="1:10" x14ac:dyDescent="0.2">
      <c r="A96" s="202" t="s">
        <v>954</v>
      </c>
      <c r="B96" s="202" t="s">
        <v>1028</v>
      </c>
      <c r="C96" s="207"/>
      <c r="D96" s="208"/>
      <c r="E96" s="208"/>
      <c r="F96" s="208"/>
      <c r="G96" s="208"/>
      <c r="H96" s="208"/>
      <c r="I96" s="208"/>
      <c r="J96" s="208"/>
    </row>
    <row r="97" spans="1:10" x14ac:dyDescent="0.2">
      <c r="A97" s="206" t="s">
        <v>955</v>
      </c>
      <c r="B97" s="206" t="s">
        <v>956</v>
      </c>
      <c r="C97" s="207" t="s">
        <v>1029</v>
      </c>
      <c r="D97" s="208"/>
      <c r="E97" s="208"/>
      <c r="F97" s="208"/>
      <c r="G97" s="208"/>
      <c r="H97" s="208"/>
      <c r="I97" s="208"/>
      <c r="J97" s="208"/>
    </row>
    <row r="98" spans="1:10" ht="27" x14ac:dyDescent="0.2">
      <c r="A98" s="202" t="s">
        <v>454</v>
      </c>
      <c r="B98" s="202" t="s">
        <v>634</v>
      </c>
      <c r="C98" s="207" t="s">
        <v>1030</v>
      </c>
      <c r="D98" s="208"/>
      <c r="E98" s="208"/>
      <c r="F98" s="208"/>
      <c r="G98" s="208"/>
      <c r="H98" s="208"/>
      <c r="I98" s="208"/>
      <c r="J98" s="208"/>
    </row>
    <row r="99" spans="1:10" x14ac:dyDescent="0.2">
      <c r="A99" s="206" t="s">
        <v>697</v>
      </c>
      <c r="B99" s="206" t="s">
        <v>1031</v>
      </c>
      <c r="C99" s="207"/>
      <c r="D99" s="208"/>
      <c r="E99" s="208"/>
      <c r="F99" s="208"/>
      <c r="G99" s="208"/>
      <c r="H99" s="208"/>
      <c r="I99" s="208"/>
      <c r="J99" s="208"/>
    </row>
    <row r="100" spans="1:10" x14ac:dyDescent="0.2">
      <c r="A100" s="202" t="s">
        <v>462</v>
      </c>
      <c r="B100" s="202" t="s">
        <v>635</v>
      </c>
      <c r="C100" s="208"/>
      <c r="D100" s="208"/>
      <c r="E100" s="208"/>
      <c r="F100" s="208"/>
      <c r="G100" s="208"/>
      <c r="H100" s="208"/>
      <c r="I100" s="208"/>
      <c r="J100" s="208"/>
    </row>
    <row r="101" spans="1:10" x14ac:dyDescent="0.2">
      <c r="A101" s="202" t="s">
        <v>464</v>
      </c>
      <c r="B101" s="202" t="s">
        <v>636</v>
      </c>
      <c r="C101" s="208"/>
      <c r="D101" s="208"/>
      <c r="E101" s="208"/>
      <c r="F101" s="208"/>
      <c r="G101" s="208"/>
      <c r="H101" s="208"/>
      <c r="I101" s="208"/>
      <c r="J101" s="208"/>
    </row>
    <row r="102" spans="1:10" x14ac:dyDescent="0.2">
      <c r="A102" s="202" t="s">
        <v>698</v>
      </c>
      <c r="B102" s="202" t="s">
        <v>637</v>
      </c>
      <c r="C102" s="208"/>
      <c r="D102" s="208"/>
      <c r="E102" s="208"/>
      <c r="F102" s="208"/>
      <c r="G102" s="208"/>
      <c r="H102" s="208"/>
      <c r="I102" s="208"/>
      <c r="J102" s="208"/>
    </row>
    <row r="103" spans="1:10" x14ac:dyDescent="0.2">
      <c r="A103" s="202" t="s">
        <v>472</v>
      </c>
      <c r="B103" s="202" t="s">
        <v>638</v>
      </c>
      <c r="C103" s="208"/>
      <c r="D103" s="208"/>
      <c r="E103" s="208"/>
      <c r="F103" s="208"/>
      <c r="G103" s="208"/>
      <c r="H103" s="208"/>
      <c r="I103" s="208"/>
      <c r="J103" s="208"/>
    </row>
    <row r="104" spans="1:10" x14ac:dyDescent="0.2">
      <c r="A104" s="202" t="s">
        <v>699</v>
      </c>
      <c r="B104" s="202" t="s">
        <v>639</v>
      </c>
      <c r="C104" s="207" t="s">
        <v>1032</v>
      </c>
      <c r="D104" s="208"/>
      <c r="E104" s="208"/>
      <c r="F104" s="208"/>
      <c r="G104" s="208"/>
      <c r="H104" s="208"/>
      <c r="I104" s="208"/>
      <c r="J104" s="208"/>
    </row>
    <row r="105" spans="1:10" x14ac:dyDescent="0.2">
      <c r="A105" s="202" t="s">
        <v>474</v>
      </c>
      <c r="B105" s="202" t="s">
        <v>640</v>
      </c>
      <c r="C105" s="208"/>
      <c r="D105" s="208"/>
      <c r="E105" s="208"/>
      <c r="F105" s="208"/>
      <c r="G105" s="208"/>
      <c r="H105" s="208"/>
      <c r="I105" s="208"/>
      <c r="J105" s="208"/>
    </row>
    <row r="106" spans="1:10" x14ac:dyDescent="0.2">
      <c r="A106" s="202" t="s">
        <v>700</v>
      </c>
      <c r="B106" s="202" t="s">
        <v>641</v>
      </c>
      <c r="C106" s="208"/>
      <c r="D106" s="208"/>
      <c r="E106" s="208"/>
      <c r="F106" s="208"/>
      <c r="G106" s="208"/>
      <c r="H106" s="208"/>
      <c r="I106" s="208"/>
      <c r="J106" s="208"/>
    </row>
    <row r="107" spans="1:10" x14ac:dyDescent="0.2">
      <c r="A107" s="202" t="s">
        <v>476</v>
      </c>
      <c r="B107" s="202" t="s">
        <v>642</v>
      </c>
      <c r="C107" s="208"/>
      <c r="D107" s="208"/>
      <c r="E107" s="208"/>
      <c r="F107" s="208"/>
      <c r="G107" s="208"/>
      <c r="H107" s="208"/>
      <c r="I107" s="208"/>
      <c r="J107" s="208"/>
    </row>
    <row r="108" spans="1:10" x14ac:dyDescent="0.2">
      <c r="A108" s="202" t="s">
        <v>1033</v>
      </c>
      <c r="B108" s="202" t="s">
        <v>1034</v>
      </c>
      <c r="C108" s="208"/>
      <c r="D108" s="208"/>
      <c r="E108" s="208"/>
      <c r="F108" s="208"/>
      <c r="G108" s="208"/>
      <c r="H108" s="208"/>
      <c r="I108" s="208"/>
      <c r="J108" s="208"/>
    </row>
    <row r="109" spans="1:10" x14ac:dyDescent="0.2">
      <c r="A109" s="202" t="s">
        <v>477</v>
      </c>
      <c r="B109" s="202" t="s">
        <v>643</v>
      </c>
      <c r="C109" s="208"/>
      <c r="D109" s="208"/>
      <c r="E109" s="208"/>
      <c r="F109" s="208"/>
      <c r="G109" s="208"/>
      <c r="H109" s="208"/>
      <c r="I109" s="208"/>
      <c r="J109" s="208"/>
    </row>
    <row r="110" spans="1:10" x14ac:dyDescent="0.2">
      <c r="A110" s="202" t="s">
        <v>478</v>
      </c>
      <c r="B110" s="202" t="s">
        <v>644</v>
      </c>
      <c r="C110" s="208"/>
      <c r="D110" s="208"/>
      <c r="E110" s="208"/>
      <c r="F110" s="208"/>
      <c r="G110" s="208"/>
      <c r="H110" s="208"/>
      <c r="I110" s="208"/>
      <c r="J110" s="208"/>
    </row>
    <row r="111" spans="1:10" x14ac:dyDescent="0.2">
      <c r="A111" s="202" t="s">
        <v>480</v>
      </c>
      <c r="B111" s="202" t="s">
        <v>645</v>
      </c>
      <c r="C111" s="208"/>
      <c r="D111" s="208"/>
      <c r="E111" s="208"/>
      <c r="F111" s="208"/>
      <c r="G111" s="208"/>
      <c r="H111" s="208"/>
      <c r="I111" s="208"/>
      <c r="J111" s="208"/>
    </row>
    <row r="112" spans="1:10" x14ac:dyDescent="0.2">
      <c r="A112" s="202" t="s">
        <v>482</v>
      </c>
      <c r="B112" s="202" t="s">
        <v>646</v>
      </c>
      <c r="C112" s="208"/>
      <c r="D112" s="208"/>
      <c r="E112" s="208"/>
      <c r="F112" s="208"/>
      <c r="G112" s="208"/>
      <c r="H112" s="208"/>
      <c r="I112" s="208"/>
      <c r="J112" s="208"/>
    </row>
    <row r="113" spans="1:10" x14ac:dyDescent="0.2">
      <c r="A113" s="202" t="s">
        <v>484</v>
      </c>
      <c r="B113" s="202" t="s">
        <v>647</v>
      </c>
      <c r="C113" s="208"/>
      <c r="D113" s="208"/>
      <c r="E113" s="208"/>
      <c r="F113" s="208"/>
      <c r="G113" s="208"/>
      <c r="H113" s="208"/>
      <c r="I113" s="208"/>
      <c r="J113" s="208"/>
    </row>
    <row r="114" spans="1:10" x14ac:dyDescent="0.2">
      <c r="A114" s="202" t="s">
        <v>701</v>
      </c>
      <c r="B114" s="202" t="s">
        <v>648</v>
      </c>
      <c r="C114" s="208"/>
      <c r="D114" s="208"/>
      <c r="E114" s="208"/>
      <c r="F114" s="208"/>
      <c r="G114" s="208"/>
      <c r="H114" s="208"/>
      <c r="I114" s="208"/>
      <c r="J114" s="208"/>
    </row>
    <row r="115" spans="1:10" x14ac:dyDescent="0.2">
      <c r="A115" s="202" t="s">
        <v>702</v>
      </c>
      <c r="B115" s="202" t="s">
        <v>649</v>
      </c>
      <c r="C115" s="208"/>
      <c r="D115" s="208"/>
      <c r="E115" s="208"/>
      <c r="F115" s="208"/>
      <c r="G115" s="208"/>
      <c r="H115" s="208"/>
      <c r="I115" s="208"/>
      <c r="J115" s="208"/>
    </row>
    <row r="116" spans="1:10" x14ac:dyDescent="0.2">
      <c r="A116" s="202" t="s">
        <v>485</v>
      </c>
      <c r="B116" s="202" t="s">
        <v>650</v>
      </c>
      <c r="C116" s="208"/>
      <c r="D116" s="208"/>
      <c r="E116" s="208"/>
      <c r="F116" s="208"/>
      <c r="G116" s="208"/>
      <c r="H116" s="208"/>
      <c r="I116" s="208"/>
      <c r="J116" s="208"/>
    </row>
    <row r="117" spans="1:10" x14ac:dyDescent="0.2">
      <c r="A117" s="202" t="s">
        <v>703</v>
      </c>
      <c r="B117" s="202" t="s">
        <v>651</v>
      </c>
      <c r="C117" s="208"/>
      <c r="D117" s="208"/>
      <c r="E117" s="208"/>
      <c r="F117" s="208"/>
      <c r="G117" s="208"/>
      <c r="H117" s="208"/>
      <c r="I117" s="208"/>
      <c r="J117" s="208"/>
    </row>
    <row r="118" spans="1:10" x14ac:dyDescent="0.2">
      <c r="A118" s="202" t="s">
        <v>704</v>
      </c>
      <c r="B118" s="202" t="s">
        <v>652</v>
      </c>
      <c r="C118" s="208"/>
      <c r="D118" s="208"/>
      <c r="E118" s="208"/>
      <c r="F118" s="208"/>
      <c r="G118" s="208"/>
      <c r="H118" s="208"/>
      <c r="I118" s="208"/>
      <c r="J118" s="208"/>
    </row>
    <row r="119" spans="1:10" x14ac:dyDescent="0.2">
      <c r="A119" s="202" t="s">
        <v>487</v>
      </c>
      <c r="B119" s="202" t="s">
        <v>653</v>
      </c>
      <c r="C119" s="208"/>
      <c r="D119" s="208"/>
      <c r="E119" s="208"/>
      <c r="F119" s="208"/>
      <c r="G119" s="208"/>
      <c r="H119" s="208"/>
      <c r="I119" s="208"/>
      <c r="J119" s="208"/>
    </row>
    <row r="120" spans="1:10" x14ac:dyDescent="0.2">
      <c r="A120" s="202" t="s">
        <v>489</v>
      </c>
      <c r="B120" s="202" t="s">
        <v>654</v>
      </c>
      <c r="C120" s="208"/>
      <c r="D120" s="208"/>
      <c r="E120" s="208"/>
      <c r="F120" s="208"/>
      <c r="G120" s="208"/>
      <c r="H120" s="208"/>
      <c r="I120" s="208"/>
      <c r="J120" s="208"/>
    </row>
    <row r="121" spans="1:10" x14ac:dyDescent="0.2">
      <c r="A121" s="202" t="s">
        <v>705</v>
      </c>
      <c r="B121" s="202" t="s">
        <v>655</v>
      </c>
      <c r="C121" s="208"/>
      <c r="D121" s="208"/>
      <c r="E121" s="208"/>
      <c r="F121" s="208"/>
      <c r="G121" s="208"/>
      <c r="H121" s="208"/>
      <c r="I121" s="208"/>
      <c r="J121" s="208"/>
    </row>
    <row r="122" spans="1:10" x14ac:dyDescent="0.2">
      <c r="A122" s="202" t="s">
        <v>706</v>
      </c>
      <c r="B122" s="202" t="s">
        <v>656</v>
      </c>
      <c r="C122" s="208"/>
      <c r="D122" s="208"/>
      <c r="E122" s="208"/>
      <c r="F122" s="208"/>
      <c r="G122" s="208"/>
      <c r="H122" s="208"/>
      <c r="I122" s="208"/>
      <c r="J122" s="208"/>
    </row>
    <row r="123" spans="1:10" x14ac:dyDescent="0.2">
      <c r="A123" s="202" t="s">
        <v>707</v>
      </c>
      <c r="B123" s="202" t="s">
        <v>657</v>
      </c>
      <c r="C123" s="208"/>
      <c r="D123" s="208"/>
      <c r="E123" s="208"/>
      <c r="F123" s="208"/>
      <c r="G123" s="208"/>
      <c r="H123" s="208"/>
      <c r="I123" s="208"/>
      <c r="J123" s="208"/>
    </row>
    <row r="124" spans="1:10" x14ac:dyDescent="0.2">
      <c r="A124" s="202" t="s">
        <v>708</v>
      </c>
      <c r="B124" s="202" t="s">
        <v>658</v>
      </c>
      <c r="C124" s="208"/>
      <c r="D124" s="208"/>
      <c r="E124" s="208"/>
      <c r="F124" s="208"/>
      <c r="G124" s="208"/>
      <c r="H124" s="208"/>
      <c r="I124" s="208"/>
      <c r="J124" s="208"/>
    </row>
    <row r="125" spans="1:10" x14ac:dyDescent="0.2">
      <c r="A125" s="202" t="s">
        <v>709</v>
      </c>
      <c r="B125" s="202" t="s">
        <v>659</v>
      </c>
      <c r="C125" s="208"/>
      <c r="D125" s="208"/>
      <c r="E125" s="208"/>
      <c r="F125" s="208"/>
      <c r="G125" s="208"/>
      <c r="H125" s="208"/>
      <c r="I125" s="208"/>
      <c r="J125" s="208"/>
    </row>
    <row r="126" spans="1:10" x14ac:dyDescent="0.2">
      <c r="A126" s="206" t="s">
        <v>1035</v>
      </c>
      <c r="B126" s="206" t="s">
        <v>1036</v>
      </c>
      <c r="C126" s="207" t="s">
        <v>1037</v>
      </c>
      <c r="D126" s="208"/>
      <c r="E126" s="208"/>
      <c r="F126" s="208"/>
      <c r="G126" s="208"/>
      <c r="H126" s="208"/>
      <c r="I126" s="208"/>
      <c r="J126" s="208"/>
    </row>
    <row r="127" spans="1:10" x14ac:dyDescent="0.2">
      <c r="A127" s="202" t="s">
        <v>497</v>
      </c>
      <c r="B127" s="202" t="s">
        <v>660</v>
      </c>
      <c r="C127" s="207" t="s">
        <v>1038</v>
      </c>
      <c r="D127" s="208"/>
      <c r="E127" s="208"/>
      <c r="F127" s="208"/>
      <c r="G127" s="208"/>
      <c r="H127" s="208"/>
      <c r="I127" s="208"/>
      <c r="J127" s="208"/>
    </row>
    <row r="128" spans="1:10" x14ac:dyDescent="0.2">
      <c r="A128" s="202" t="s">
        <v>499</v>
      </c>
      <c r="B128" s="202" t="s">
        <v>661</v>
      </c>
      <c r="C128" s="208"/>
      <c r="D128" s="208"/>
      <c r="E128" s="208"/>
      <c r="F128" s="208"/>
      <c r="G128" s="208"/>
      <c r="H128" s="208"/>
      <c r="I128" s="208"/>
      <c r="J128" s="208"/>
    </row>
    <row r="129" spans="1:10" x14ac:dyDescent="0.2">
      <c r="A129" s="202" t="s">
        <v>710</v>
      </c>
      <c r="B129" s="202" t="s">
        <v>662</v>
      </c>
      <c r="C129" s="208"/>
      <c r="D129" s="208"/>
      <c r="E129" s="208"/>
      <c r="F129" s="208"/>
      <c r="G129" s="208"/>
      <c r="H129" s="208"/>
      <c r="I129" s="208"/>
      <c r="J129" s="208"/>
    </row>
    <row r="130" spans="1:10" x14ac:dyDescent="0.2">
      <c r="A130" s="202" t="s">
        <v>711</v>
      </c>
      <c r="B130" s="202" t="s">
        <v>663</v>
      </c>
      <c r="C130" s="208"/>
      <c r="D130" s="208"/>
      <c r="E130" s="208"/>
      <c r="F130" s="208"/>
      <c r="G130" s="208"/>
      <c r="H130" s="208"/>
      <c r="I130" s="208"/>
      <c r="J130" s="208"/>
    </row>
    <row r="131" spans="1:10" x14ac:dyDescent="0.2">
      <c r="A131" s="202" t="s">
        <v>505</v>
      </c>
      <c r="B131" s="202" t="s">
        <v>664</v>
      </c>
      <c r="C131" s="208"/>
      <c r="D131" s="208"/>
      <c r="E131" s="208"/>
      <c r="F131" s="208"/>
      <c r="G131" s="208"/>
      <c r="H131" s="208"/>
      <c r="I131" s="208"/>
      <c r="J131" s="208"/>
    </row>
    <row r="132" spans="1:10" x14ac:dyDescent="0.2">
      <c r="A132" s="202" t="s">
        <v>507</v>
      </c>
      <c r="B132" s="202" t="s">
        <v>665</v>
      </c>
      <c r="C132" s="208"/>
      <c r="D132" s="208"/>
      <c r="E132" s="208"/>
      <c r="F132" s="208"/>
      <c r="G132" s="208"/>
      <c r="H132" s="208"/>
      <c r="I132" s="208"/>
      <c r="J132" s="208"/>
    </row>
    <row r="133" spans="1:10" x14ac:dyDescent="0.2">
      <c r="A133" s="202" t="s">
        <v>511</v>
      </c>
      <c r="B133" s="202" t="s">
        <v>666</v>
      </c>
      <c r="C133" s="208"/>
      <c r="D133" s="208"/>
      <c r="E133" s="208"/>
      <c r="F133" s="208"/>
      <c r="G133" s="208"/>
      <c r="H133" s="208"/>
      <c r="I133" s="208"/>
      <c r="J133" s="208"/>
    </row>
    <row r="134" spans="1:10" x14ac:dyDescent="0.2">
      <c r="A134" s="202" t="s">
        <v>515</v>
      </c>
      <c r="B134" s="202" t="s">
        <v>667</v>
      </c>
      <c r="C134" s="208"/>
      <c r="D134" s="208"/>
      <c r="E134" s="208"/>
      <c r="F134" s="208"/>
      <c r="G134" s="208"/>
      <c r="H134" s="208"/>
      <c r="I134" s="208"/>
      <c r="J134" s="208"/>
    </row>
    <row r="135" spans="1:10" x14ac:dyDescent="0.2">
      <c r="A135" s="202" t="s">
        <v>529</v>
      </c>
      <c r="B135" s="202" t="s">
        <v>668</v>
      </c>
      <c r="C135" s="208"/>
      <c r="D135" s="208"/>
      <c r="E135" s="208"/>
      <c r="F135" s="208"/>
      <c r="G135" s="208"/>
      <c r="H135" s="208"/>
      <c r="I135" s="208"/>
      <c r="J135" s="208"/>
    </row>
    <row r="136" spans="1:10" x14ac:dyDescent="0.2">
      <c r="A136" s="202" t="s">
        <v>535</v>
      </c>
      <c r="B136" s="202" t="s">
        <v>669</v>
      </c>
      <c r="C136" s="208"/>
      <c r="D136" s="208"/>
      <c r="E136" s="208"/>
      <c r="F136" s="208"/>
      <c r="G136" s="208"/>
      <c r="H136" s="208"/>
      <c r="I136" s="208"/>
      <c r="J136" s="208"/>
    </row>
    <row r="139" spans="1:10" x14ac:dyDescent="0.2">
      <c r="B139" s="203" t="s">
        <v>1039</v>
      </c>
    </row>
    <row r="140" spans="1:10" x14ac:dyDescent="0.2">
      <c r="B140" s="203" t="s">
        <v>1040</v>
      </c>
    </row>
    <row r="150" spans="2:2" x14ac:dyDescent="0.2">
      <c r="B150" s="203"/>
    </row>
  </sheetData>
  <conditionalFormatting sqref="A2:B137">
    <cfRule type="expression" dxfId="0" priority="1" stopIfTrue="1">
      <formula>MOD(ROW(),2)=1</formula>
    </cfRule>
  </conditionalFormatting>
  <pageMargins left="0.7" right="0.7" top="0.75" bottom="0.75" header="0.3" footer="0.3"/>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28" workbookViewId="0">
      <selection activeCell="C16" sqref="C16"/>
    </sheetView>
  </sheetViews>
  <sheetFormatPr baseColWidth="10" defaultColWidth="8.83203125" defaultRowHeight="15" x14ac:dyDescent="0.2"/>
  <cols>
    <col min="1" max="1" width="4.5" bestFit="1" customWidth="1"/>
    <col min="2" max="2" width="52.1640625" customWidth="1"/>
  </cols>
  <sheetData>
    <row r="1" spans="1:2" x14ac:dyDescent="0.2">
      <c r="A1" s="212" t="s">
        <v>1041</v>
      </c>
      <c r="B1" s="213"/>
    </row>
    <row r="2" spans="1:2" x14ac:dyDescent="0.2">
      <c r="A2" s="212"/>
      <c r="B2" s="213"/>
    </row>
    <row r="3" spans="1:2" x14ac:dyDescent="0.2">
      <c r="A3" s="214" t="s">
        <v>1042</v>
      </c>
      <c r="B3" s="214" t="s">
        <v>1043</v>
      </c>
    </row>
    <row r="4" spans="1:2" x14ac:dyDescent="0.2">
      <c r="A4" s="215">
        <v>1100</v>
      </c>
      <c r="B4" t="s">
        <v>1044</v>
      </c>
    </row>
    <row r="5" spans="1:2" x14ac:dyDescent="0.2">
      <c r="A5" s="215"/>
      <c r="B5" t="s">
        <v>1045</v>
      </c>
    </row>
    <row r="6" spans="1:2" x14ac:dyDescent="0.2">
      <c r="A6" s="215"/>
      <c r="B6" t="s">
        <v>1046</v>
      </c>
    </row>
    <row r="7" spans="1:2" x14ac:dyDescent="0.2">
      <c r="A7" s="215"/>
      <c r="B7" t="s">
        <v>1047</v>
      </c>
    </row>
    <row r="8" spans="1:2" x14ac:dyDescent="0.2">
      <c r="A8" s="215"/>
      <c r="B8" t="s">
        <v>1048</v>
      </c>
    </row>
    <row r="9" spans="1:2" x14ac:dyDescent="0.2">
      <c r="A9" s="215"/>
    </row>
    <row r="10" spans="1:2" x14ac:dyDescent="0.2">
      <c r="A10" s="215">
        <v>1200</v>
      </c>
      <c r="B10" t="s">
        <v>1049</v>
      </c>
    </row>
    <row r="11" spans="1:2" x14ac:dyDescent="0.2">
      <c r="A11" s="215"/>
      <c r="B11" t="s">
        <v>1050</v>
      </c>
    </row>
    <row r="12" spans="1:2" x14ac:dyDescent="0.2">
      <c r="A12" s="215"/>
      <c r="B12" t="s">
        <v>1051</v>
      </c>
    </row>
    <row r="13" spans="1:2" x14ac:dyDescent="0.2">
      <c r="A13" s="215"/>
      <c r="B13" t="s">
        <v>1052</v>
      </c>
    </row>
    <row r="14" spans="1:2" x14ac:dyDescent="0.2">
      <c r="A14" s="215"/>
      <c r="B14" t="s">
        <v>1053</v>
      </c>
    </row>
    <row r="15" spans="1:2" x14ac:dyDescent="0.2">
      <c r="A15" s="215"/>
      <c r="B15" t="s">
        <v>1054</v>
      </c>
    </row>
    <row r="16" spans="1:2" x14ac:dyDescent="0.2">
      <c r="A16" s="215"/>
    </row>
    <row r="17" spans="1:2" x14ac:dyDescent="0.2">
      <c r="A17" s="215">
        <v>1300</v>
      </c>
      <c r="B17" t="s">
        <v>1055</v>
      </c>
    </row>
    <row r="18" spans="1:2" x14ac:dyDescent="0.2">
      <c r="A18" s="215"/>
      <c r="B18" t="s">
        <v>1056</v>
      </c>
    </row>
    <row r="19" spans="1:2" x14ac:dyDescent="0.2">
      <c r="A19" s="215"/>
      <c r="B19" t="s">
        <v>1057</v>
      </c>
    </row>
    <row r="20" spans="1:2" x14ac:dyDescent="0.2">
      <c r="A20" s="215"/>
      <c r="B20" t="s">
        <v>1058</v>
      </c>
    </row>
    <row r="21" spans="1:2" x14ac:dyDescent="0.2">
      <c r="A21" s="215"/>
      <c r="B21" t="s">
        <v>1059</v>
      </c>
    </row>
    <row r="22" spans="1:2" x14ac:dyDescent="0.2">
      <c r="A22" s="215"/>
      <c r="B22" t="s">
        <v>1060</v>
      </c>
    </row>
    <row r="23" spans="1:2" x14ac:dyDescent="0.2">
      <c r="A23" s="215"/>
      <c r="B23" t="s">
        <v>1061</v>
      </c>
    </row>
    <row r="24" spans="1:2" x14ac:dyDescent="0.2">
      <c r="A24" s="215"/>
    </row>
    <row r="25" spans="1:2" x14ac:dyDescent="0.2">
      <c r="A25" s="215">
        <v>1900</v>
      </c>
      <c r="B25" t="s">
        <v>1062</v>
      </c>
    </row>
    <row r="26" spans="1:2" x14ac:dyDescent="0.2">
      <c r="A26" s="215"/>
      <c r="B26" t="s">
        <v>1063</v>
      </c>
    </row>
    <row r="27" spans="1:2" x14ac:dyDescent="0.2">
      <c r="A27" s="215"/>
      <c r="B27" t="s">
        <v>1064</v>
      </c>
    </row>
    <row r="28" spans="1:2" x14ac:dyDescent="0.2">
      <c r="A28" s="215"/>
      <c r="B28" t="s">
        <v>1065</v>
      </c>
    </row>
    <row r="29" spans="1:2" x14ac:dyDescent="0.2">
      <c r="A29" s="215"/>
      <c r="B29" s="216" t="s">
        <v>1066</v>
      </c>
    </row>
    <row r="30" spans="1:2" x14ac:dyDescent="0.2">
      <c r="A30" s="215"/>
    </row>
    <row r="31" spans="1:2" x14ac:dyDescent="0.2">
      <c r="A31" s="215">
        <v>2100</v>
      </c>
      <c r="B31" t="s">
        <v>1067</v>
      </c>
    </row>
    <row r="32" spans="1:2" x14ac:dyDescent="0.2">
      <c r="A32" s="215"/>
      <c r="B32" t="s">
        <v>1068</v>
      </c>
    </row>
    <row r="33" spans="1:2" x14ac:dyDescent="0.2">
      <c r="A33" s="215"/>
      <c r="B33" t="s">
        <v>1069</v>
      </c>
    </row>
    <row r="34" spans="1:2" x14ac:dyDescent="0.2">
      <c r="A34" s="215"/>
      <c r="B34" t="s">
        <v>1070</v>
      </c>
    </row>
    <row r="35" spans="1:2" x14ac:dyDescent="0.2">
      <c r="A35" s="215"/>
      <c r="B35" t="s">
        <v>1071</v>
      </c>
    </row>
    <row r="36" spans="1:2" x14ac:dyDescent="0.2">
      <c r="A36" s="215"/>
      <c r="B36" t="s">
        <v>1072</v>
      </c>
    </row>
    <row r="37" spans="1:2" x14ac:dyDescent="0.2">
      <c r="A37" s="215"/>
    </row>
    <row r="38" spans="1:2" x14ac:dyDescent="0.2">
      <c r="A38" s="215">
        <v>2200</v>
      </c>
      <c r="B38" t="s">
        <v>1073</v>
      </c>
    </row>
    <row r="39" spans="1:2" x14ac:dyDescent="0.2">
      <c r="A39" s="215"/>
      <c r="B39" t="s">
        <v>1074</v>
      </c>
    </row>
    <row r="40" spans="1:2" x14ac:dyDescent="0.2">
      <c r="A40" s="215"/>
      <c r="B40" t="s">
        <v>1075</v>
      </c>
    </row>
    <row r="41" spans="1:2" x14ac:dyDescent="0.2">
      <c r="A41" s="215"/>
      <c r="B41" t="s">
        <v>1076</v>
      </c>
    </row>
    <row r="42" spans="1:2" x14ac:dyDescent="0.2">
      <c r="A42" s="215"/>
      <c r="B42" t="s">
        <v>1077</v>
      </c>
    </row>
    <row r="43" spans="1:2" x14ac:dyDescent="0.2">
      <c r="A43" s="215"/>
      <c r="B43" t="s">
        <v>1078</v>
      </c>
    </row>
    <row r="44" spans="1:2" x14ac:dyDescent="0.2">
      <c r="A44" s="215"/>
    </row>
    <row r="45" spans="1:2" x14ac:dyDescent="0.2">
      <c r="A45" s="215">
        <v>2300</v>
      </c>
      <c r="B45" t="s">
        <v>1079</v>
      </c>
    </row>
    <row r="46" spans="1:2" x14ac:dyDescent="0.2">
      <c r="A46" s="215"/>
      <c r="B46" t="s">
        <v>1080</v>
      </c>
    </row>
    <row r="47" spans="1:2" x14ac:dyDescent="0.2">
      <c r="A47" s="215"/>
      <c r="B47" t="s">
        <v>1059</v>
      </c>
    </row>
    <row r="48" spans="1:2" x14ac:dyDescent="0.2">
      <c r="A48" s="215"/>
      <c r="B48" t="s">
        <v>1081</v>
      </c>
    </row>
    <row r="49" spans="1:2" x14ac:dyDescent="0.2">
      <c r="A49" s="215"/>
      <c r="B49" t="s">
        <v>1082</v>
      </c>
    </row>
    <row r="50" spans="1:2" x14ac:dyDescent="0.2">
      <c r="A50" s="215"/>
      <c r="B50" t="s">
        <v>1083</v>
      </c>
    </row>
    <row r="51" spans="1:2" x14ac:dyDescent="0.2">
      <c r="A51" s="215"/>
    </row>
    <row r="52" spans="1:2" x14ac:dyDescent="0.2">
      <c r="A52" s="215">
        <v>2400</v>
      </c>
      <c r="B52" t="s">
        <v>1084</v>
      </c>
    </row>
    <row r="53" spans="1:2" x14ac:dyDescent="0.2">
      <c r="A53" s="215"/>
      <c r="B53" t="s">
        <v>1085</v>
      </c>
    </row>
    <row r="54" spans="1:2" x14ac:dyDescent="0.2">
      <c r="A54" s="215"/>
      <c r="B54" t="s">
        <v>1086</v>
      </c>
    </row>
    <row r="55" spans="1:2" x14ac:dyDescent="0.2">
      <c r="A55" s="215"/>
      <c r="B55" t="s">
        <v>1087</v>
      </c>
    </row>
    <row r="56" spans="1:2" x14ac:dyDescent="0.2">
      <c r="A56" s="215"/>
      <c r="B56" t="s">
        <v>1088</v>
      </c>
    </row>
    <row r="57" spans="1:2" x14ac:dyDescent="0.2">
      <c r="A57" s="215"/>
      <c r="B57" t="s">
        <v>1089</v>
      </c>
    </row>
    <row r="58" spans="1:2" x14ac:dyDescent="0.2">
      <c r="A58" s="215"/>
      <c r="B58" t="s">
        <v>1090</v>
      </c>
    </row>
    <row r="59" spans="1:2" x14ac:dyDescent="0.2">
      <c r="A59" s="215"/>
      <c r="B59" t="s">
        <v>1091</v>
      </c>
    </row>
    <row r="60" spans="1:2" x14ac:dyDescent="0.2">
      <c r="A60" s="215"/>
    </row>
    <row r="61" spans="1:2" x14ac:dyDescent="0.2">
      <c r="A61" s="215">
        <v>2900</v>
      </c>
      <c r="B61" t="s">
        <v>1092</v>
      </c>
    </row>
    <row r="62" spans="1:2" x14ac:dyDescent="0.2">
      <c r="B62" t="s">
        <v>1093</v>
      </c>
    </row>
    <row r="63" spans="1:2" x14ac:dyDescent="0.2">
      <c r="B63" t="s">
        <v>1094</v>
      </c>
    </row>
    <row r="64" spans="1:2" x14ac:dyDescent="0.2">
      <c r="B64" t="s">
        <v>1095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4"/>
  <sheetViews>
    <sheetView topLeftCell="A169" workbookViewId="0"/>
  </sheetViews>
  <sheetFormatPr baseColWidth="10" defaultColWidth="8.83203125" defaultRowHeight="16" x14ac:dyDescent="0.2"/>
  <cols>
    <col min="1" max="9" width="8.83203125" style="6"/>
    <col min="10" max="13" width="0" style="6" hidden="1" customWidth="1"/>
    <col min="14" max="16384" width="8.83203125" style="6"/>
  </cols>
  <sheetData>
    <row r="1" spans="1:11" x14ac:dyDescent="0.2">
      <c r="A1" s="6" t="s">
        <v>8</v>
      </c>
      <c r="J1" s="6" t="s">
        <v>9</v>
      </c>
    </row>
    <row r="2" spans="1:11" x14ac:dyDescent="0.2">
      <c r="K2" s="6">
        <v>80</v>
      </c>
    </row>
    <row r="3" spans="1:11" x14ac:dyDescent="0.2">
      <c r="A3" s="6" t="s">
        <v>10</v>
      </c>
      <c r="B3" s="6" t="s">
        <v>11</v>
      </c>
      <c r="J3" s="6" t="str">
        <f>LEFT('[1]Raw Objects'!A5,4)</f>
        <v>1100</v>
      </c>
      <c r="K3" s="6" t="str">
        <f>MID('[1]Raw Objects'!A5,5,$K$2)</f>
        <v xml:space="preserve">Certificated Teachers' Salaries                                                 </v>
      </c>
    </row>
    <row r="4" spans="1:11" x14ac:dyDescent="0.2">
      <c r="A4" s="6" t="s">
        <v>12</v>
      </c>
      <c r="B4" s="6" t="s">
        <v>13</v>
      </c>
      <c r="J4" s="6" t="str">
        <f>LEFT('[1]Raw Objects'!A6,4)</f>
        <v>1200</v>
      </c>
      <c r="K4" s="6" t="str">
        <f>MID('[1]Raw Objects'!A6,5,$K$2)</f>
        <v xml:space="preserve">Certificated Pupil Support Salaries                                             </v>
      </c>
    </row>
    <row r="5" spans="1:11" x14ac:dyDescent="0.2">
      <c r="A5" s="6" t="s">
        <v>14</v>
      </c>
      <c r="B5" s="6" t="s">
        <v>15</v>
      </c>
      <c r="J5" s="6" t="str">
        <f>LEFT('[1]Raw Objects'!A7,4)</f>
        <v>1300</v>
      </c>
      <c r="K5" s="6" t="str">
        <f>MID('[1]Raw Objects'!A7,5,$K$2)</f>
        <v xml:space="preserve">Certificated Supervisors' and Administrators' Salaries                          </v>
      </c>
    </row>
    <row r="6" spans="1:11" x14ac:dyDescent="0.2">
      <c r="A6" s="6" t="s">
        <v>16</v>
      </c>
      <c r="B6" s="6" t="s">
        <v>17</v>
      </c>
      <c r="J6" s="6" t="str">
        <f>LEFT('[1]Raw Objects'!A8,4)</f>
        <v>1900</v>
      </c>
      <c r="K6" s="6" t="str">
        <f>MID('[1]Raw Objects'!A8,5,$K$2)</f>
        <v xml:space="preserve">Other Certificated Salaries                                                     </v>
      </c>
    </row>
    <row r="7" spans="1:11" x14ac:dyDescent="0.2">
      <c r="A7" s="6" t="s">
        <v>18</v>
      </c>
      <c r="B7" s="6" t="s">
        <v>19</v>
      </c>
      <c r="J7" s="6" t="str">
        <f>LEFT('[1]Raw Objects'!A9,4)</f>
        <v>2100</v>
      </c>
      <c r="K7" s="6" t="str">
        <f>MID('[1]Raw Objects'!A9,5,$K$2)</f>
        <v xml:space="preserve">Classified Instructional Salaries                                               </v>
      </c>
    </row>
    <row r="8" spans="1:11" x14ac:dyDescent="0.2">
      <c r="A8" s="6" t="s">
        <v>20</v>
      </c>
      <c r="B8" s="6" t="s">
        <v>21</v>
      </c>
      <c r="J8" s="6" t="str">
        <f>LEFT('[1]Raw Objects'!A10,4)</f>
        <v>2200</v>
      </c>
      <c r="K8" s="6" t="str">
        <f>MID('[1]Raw Objects'!A10,5,$K$2)</f>
        <v xml:space="preserve">Classified Support Salaries                                                     </v>
      </c>
    </row>
    <row r="9" spans="1:11" x14ac:dyDescent="0.2">
      <c r="A9" s="6" t="s">
        <v>22</v>
      </c>
      <c r="B9" s="6" t="s">
        <v>23</v>
      </c>
      <c r="J9" s="6" t="str">
        <f>LEFT('[1]Raw Objects'!A11,4)</f>
        <v>2300</v>
      </c>
      <c r="K9" s="6" t="str">
        <f>MID('[1]Raw Objects'!A11,5,$K$2)</f>
        <v xml:space="preserve">Classified Supervisors' and Administrators' Salaries                            </v>
      </c>
    </row>
    <row r="10" spans="1:11" x14ac:dyDescent="0.2">
      <c r="A10" s="6" t="s">
        <v>24</v>
      </c>
      <c r="B10" s="6" t="s">
        <v>25</v>
      </c>
      <c r="J10" s="6" t="str">
        <f>LEFT('[1]Raw Objects'!A12,4)</f>
        <v>2400</v>
      </c>
      <c r="K10" s="6" t="str">
        <f>MID('[1]Raw Objects'!A12,5,$K$2)</f>
        <v xml:space="preserve">Clerical, Technical, and Office Staff Salaries                                  </v>
      </c>
    </row>
    <row r="11" spans="1:11" x14ac:dyDescent="0.2">
      <c r="A11" s="6" t="s">
        <v>26</v>
      </c>
      <c r="B11" s="6" t="s">
        <v>27</v>
      </c>
      <c r="J11" s="6" t="str">
        <f>LEFT('[1]Raw Objects'!A13,4)</f>
        <v>2900</v>
      </c>
      <c r="K11" s="6" t="str">
        <f>MID('[1]Raw Objects'!A13,5,$K$2)</f>
        <v xml:space="preserve">Other Classified Salaries                                                       </v>
      </c>
    </row>
    <row r="12" spans="1:11" x14ac:dyDescent="0.2">
      <c r="A12" s="6" t="s">
        <v>28</v>
      </c>
      <c r="B12" s="6" t="s">
        <v>29</v>
      </c>
      <c r="J12" s="6" t="str">
        <f>LEFT('[1]Raw Objects'!A14,4)</f>
        <v>3100</v>
      </c>
      <c r="K12" s="6" t="str">
        <f>MID('[1]Raw Objects'!A14,5,$K$2)</f>
        <v xml:space="preserve">(Obsolete) State Teachers' Retirement System                                    </v>
      </c>
    </row>
    <row r="13" spans="1:11" x14ac:dyDescent="0.2">
      <c r="A13" s="6" t="s">
        <v>30</v>
      </c>
      <c r="B13" s="6" t="s">
        <v>31</v>
      </c>
      <c r="J13" s="6" t="str">
        <f>LEFT('[1]Raw Objects'!A15,4)</f>
        <v>3101</v>
      </c>
      <c r="K13" s="6" t="str">
        <f>MID('[1]Raw Objects'!A15,5,$K$2)</f>
        <v xml:space="preserve">State Teachers' Retirement System, certificated positions                       </v>
      </c>
    </row>
    <row r="14" spans="1:11" x14ac:dyDescent="0.2">
      <c r="A14" s="6" t="s">
        <v>32</v>
      </c>
      <c r="B14" s="6" t="s">
        <v>33</v>
      </c>
      <c r="J14" s="6" t="str">
        <f>LEFT('[1]Raw Objects'!A16,4)</f>
        <v>3102</v>
      </c>
      <c r="K14" s="6" t="str">
        <f>MID('[1]Raw Objects'!A16,5,$K$2)</f>
        <v xml:space="preserve">State Teachers' Retirement System, classified positions                         </v>
      </c>
    </row>
    <row r="15" spans="1:11" x14ac:dyDescent="0.2">
      <c r="A15" s="6" t="s">
        <v>34</v>
      </c>
      <c r="B15" s="6" t="s">
        <v>35</v>
      </c>
      <c r="J15" s="6" t="str">
        <f>LEFT('[1]Raw Objects'!A17,4)</f>
        <v>3200</v>
      </c>
      <c r="K15" s="6" t="str">
        <f>MID('[1]Raw Objects'!A17,5,$K$2)</f>
        <v xml:space="preserve">(Obsolete) Public Employees' Retirement System                                  </v>
      </c>
    </row>
    <row r="16" spans="1:11" x14ac:dyDescent="0.2">
      <c r="A16" s="6" t="s">
        <v>36</v>
      </c>
      <c r="B16" s="6" t="s">
        <v>37</v>
      </c>
      <c r="J16" s="6" t="str">
        <f>LEFT('[1]Raw Objects'!A18,4)</f>
        <v>3201</v>
      </c>
      <c r="K16" s="6" t="str">
        <f>MID('[1]Raw Objects'!A18,5,$K$2)</f>
        <v xml:space="preserve">Public Employees' Retirement System, certificated positions                     </v>
      </c>
    </row>
    <row r="17" spans="1:11" x14ac:dyDescent="0.2">
      <c r="A17" s="6" t="s">
        <v>38</v>
      </c>
      <c r="B17" s="6" t="s">
        <v>39</v>
      </c>
      <c r="J17" s="6" t="str">
        <f>LEFT('[1]Raw Objects'!A19,4)</f>
        <v>3202</v>
      </c>
      <c r="K17" s="6" t="str">
        <f>MID('[1]Raw Objects'!A19,5,$K$2)</f>
        <v xml:space="preserve">Public Employees' Retirement System, classified positions                       </v>
      </c>
    </row>
    <row r="18" spans="1:11" x14ac:dyDescent="0.2">
      <c r="A18" s="6" t="s">
        <v>40</v>
      </c>
      <c r="B18" s="6" t="s">
        <v>41</v>
      </c>
      <c r="J18" s="6" t="str">
        <f>LEFT('[1]Raw Objects'!A20,4)</f>
        <v>3300</v>
      </c>
      <c r="K18" s="6" t="str">
        <f>MID('[1]Raw Objects'!A20,5,$K$2)</f>
        <v xml:space="preserve">(Obsolete) Social Security/Medicare/Alternative                                 </v>
      </c>
    </row>
    <row r="19" spans="1:11" x14ac:dyDescent="0.2">
      <c r="A19" s="6" t="s">
        <v>42</v>
      </c>
      <c r="B19" s="6" t="s">
        <v>43</v>
      </c>
      <c r="J19" s="6" t="str">
        <f>LEFT('[1]Raw Objects'!A21,4)</f>
        <v>3301</v>
      </c>
      <c r="K19" s="6" t="str">
        <f>MID('[1]Raw Objects'!A21,5,$K$2)</f>
        <v xml:space="preserve">OASDI/Medicare/Alternative, certificated positions                              </v>
      </c>
    </row>
    <row r="20" spans="1:11" x14ac:dyDescent="0.2">
      <c r="A20" s="6" t="s">
        <v>44</v>
      </c>
      <c r="B20" s="6" t="s">
        <v>45</v>
      </c>
      <c r="J20" s="6" t="str">
        <f>LEFT('[1]Raw Objects'!A22,4)</f>
        <v>3302</v>
      </c>
      <c r="K20" s="6" t="str">
        <f>MID('[1]Raw Objects'!A22,5,$K$2)</f>
        <v xml:space="preserve">OASDI/Medicare/Alternative, classified positions                                </v>
      </c>
    </row>
    <row r="21" spans="1:11" x14ac:dyDescent="0.2">
      <c r="A21" s="6" t="s">
        <v>46</v>
      </c>
      <c r="B21" s="6" t="s">
        <v>47</v>
      </c>
      <c r="J21" s="6" t="str">
        <f>LEFT('[1]Raw Objects'!A23,4)</f>
        <v>3400</v>
      </c>
      <c r="K21" s="6" t="str">
        <f>MID('[1]Raw Objects'!A23,5,$K$2)</f>
        <v xml:space="preserve">(Obsolete) Health &amp; Welfare Benefits                                            </v>
      </c>
    </row>
    <row r="22" spans="1:11" x14ac:dyDescent="0.2">
      <c r="A22" s="6" t="s">
        <v>48</v>
      </c>
      <c r="B22" s="6" t="s">
        <v>49</v>
      </c>
      <c r="J22" s="6" t="str">
        <f>LEFT('[1]Raw Objects'!A24,4)</f>
        <v>3401</v>
      </c>
      <c r="K22" s="6" t="str">
        <f>MID('[1]Raw Objects'!A24,5,$K$2)</f>
        <v xml:space="preserve">Health &amp; Welfare Benefits, certificated positions                               </v>
      </c>
    </row>
    <row r="23" spans="1:11" x14ac:dyDescent="0.2">
      <c r="A23" s="6" t="s">
        <v>50</v>
      </c>
      <c r="B23" s="6" t="s">
        <v>51</v>
      </c>
      <c r="J23" s="6" t="str">
        <f>LEFT('[1]Raw Objects'!A25,4)</f>
        <v>3402</v>
      </c>
      <c r="K23" s="6" t="str">
        <f>MID('[1]Raw Objects'!A25,5,$K$2)</f>
        <v xml:space="preserve">Health &amp; Welfare Benefits, classified positions                                 </v>
      </c>
    </row>
    <row r="24" spans="1:11" x14ac:dyDescent="0.2">
      <c r="A24" s="6" t="s">
        <v>52</v>
      </c>
      <c r="B24" s="6" t="s">
        <v>53</v>
      </c>
      <c r="J24" s="6" t="str">
        <f>LEFT('[1]Raw Objects'!A26,4)</f>
        <v>3500</v>
      </c>
      <c r="K24" s="6" t="str">
        <f>MID('[1]Raw Objects'!A26,5,$K$2)</f>
        <v xml:space="preserve">(Obsolete) State Unemployment Insurance                                         </v>
      </c>
    </row>
    <row r="25" spans="1:11" x14ac:dyDescent="0.2">
      <c r="A25" s="6" t="s">
        <v>54</v>
      </c>
      <c r="B25" s="6" t="s">
        <v>55</v>
      </c>
      <c r="J25" s="6" t="str">
        <f>LEFT('[1]Raw Objects'!A27,4)</f>
        <v>3501</v>
      </c>
      <c r="K25" s="6" t="str">
        <f>MID('[1]Raw Objects'!A27,5,$K$2)</f>
        <v xml:space="preserve">State Unemployment Insurance, certificated positions                            </v>
      </c>
    </row>
    <row r="26" spans="1:11" x14ac:dyDescent="0.2">
      <c r="A26" s="6" t="s">
        <v>56</v>
      </c>
      <c r="B26" s="6" t="s">
        <v>57</v>
      </c>
      <c r="J26" s="6" t="str">
        <f>LEFT('[1]Raw Objects'!A28,4)</f>
        <v>3502</v>
      </c>
      <c r="K26" s="6" t="str">
        <f>MID('[1]Raw Objects'!A28,5,$K$2)</f>
        <v xml:space="preserve">State Unemployment Insurance, classified positions                              </v>
      </c>
    </row>
    <row r="27" spans="1:11" x14ac:dyDescent="0.2">
      <c r="A27" s="6" t="s">
        <v>58</v>
      </c>
      <c r="B27" s="6" t="s">
        <v>59</v>
      </c>
      <c r="J27" s="6" t="str">
        <f>LEFT('[1]Raw Objects'!A29,4)</f>
        <v>3600</v>
      </c>
      <c r="K27" s="6" t="str">
        <f>MID('[1]Raw Objects'!A29,5,$K$2)</f>
        <v xml:space="preserve">(Obsolete) Worker's Compensation Insurance                                      </v>
      </c>
    </row>
    <row r="28" spans="1:11" x14ac:dyDescent="0.2">
      <c r="A28" s="6" t="s">
        <v>60</v>
      </c>
      <c r="B28" s="6" t="s">
        <v>61</v>
      </c>
      <c r="J28" s="6" t="str">
        <f>LEFT('[1]Raw Objects'!A30,4)</f>
        <v>3601</v>
      </c>
      <c r="K28" s="6" t="str">
        <f>MID('[1]Raw Objects'!A30,5,$K$2)</f>
        <v xml:space="preserve">Workers' Compensation Insurance, certificated positions                         </v>
      </c>
    </row>
    <row r="29" spans="1:11" x14ac:dyDescent="0.2">
      <c r="A29" s="6" t="s">
        <v>62</v>
      </c>
      <c r="B29" s="6" t="s">
        <v>63</v>
      </c>
      <c r="J29" s="6" t="str">
        <f>LEFT('[1]Raw Objects'!A31,4)</f>
        <v>3602</v>
      </c>
      <c r="K29" s="6" t="str">
        <f>MID('[1]Raw Objects'!A31,5,$K$2)</f>
        <v xml:space="preserve">Workers' Compensation Insurance, classified positions                           </v>
      </c>
    </row>
    <row r="30" spans="1:11" x14ac:dyDescent="0.2">
      <c r="A30" s="6" t="s">
        <v>64</v>
      </c>
      <c r="B30" s="6" t="s">
        <v>65</v>
      </c>
      <c r="J30" s="6" t="str">
        <f>LEFT('[1]Raw Objects'!A32,4)</f>
        <v>3700</v>
      </c>
      <c r="K30" s="6" t="str">
        <f>MID('[1]Raw Objects'!A32,5,$K$2)</f>
        <v xml:space="preserve">(Obsolete) Retiree Benefits                                                     </v>
      </c>
    </row>
    <row r="31" spans="1:11" x14ac:dyDescent="0.2">
      <c r="A31" s="6" t="s">
        <v>66</v>
      </c>
      <c r="B31" s="6" t="s">
        <v>67</v>
      </c>
      <c r="J31" s="6" t="str">
        <f>LEFT('[1]Raw Objects'!A33,4)</f>
        <v>3701</v>
      </c>
      <c r="K31" s="6" t="str">
        <f>MID('[1]Raw Objects'!A33,5,$K$2)</f>
        <v xml:space="preserve">OPEB, Allocated, certificated positions                                         </v>
      </c>
    </row>
    <row r="32" spans="1:11" x14ac:dyDescent="0.2">
      <c r="A32" s="6" t="s">
        <v>68</v>
      </c>
      <c r="B32" s="6" t="s">
        <v>69</v>
      </c>
      <c r="J32" s="6" t="str">
        <f>LEFT('[1]Raw Objects'!A34,4)</f>
        <v>3702</v>
      </c>
      <c r="K32" s="6" t="str">
        <f>MID('[1]Raw Objects'!A34,5,$K$2)</f>
        <v xml:space="preserve">OPEB, Allocated, classified positions                                           </v>
      </c>
    </row>
    <row r="33" spans="1:11" x14ac:dyDescent="0.2">
      <c r="A33" s="6" t="s">
        <v>70</v>
      </c>
      <c r="B33" s="6" t="s">
        <v>71</v>
      </c>
      <c r="J33" s="6" t="str">
        <f>LEFT('[1]Raw Objects'!A35,4)</f>
        <v>3751</v>
      </c>
      <c r="K33" s="6" t="str">
        <f>MID('[1]Raw Objects'!A35,5,$K$2)</f>
        <v xml:space="preserve">OPEB, Active Employees, certificated positions                                  </v>
      </c>
    </row>
    <row r="34" spans="1:11" x14ac:dyDescent="0.2">
      <c r="A34" s="6" t="s">
        <v>72</v>
      </c>
      <c r="B34" s="6" t="s">
        <v>73</v>
      </c>
      <c r="J34" s="6" t="str">
        <f>LEFT('[1]Raw Objects'!A36,4)</f>
        <v>3752</v>
      </c>
      <c r="K34" s="6" t="str">
        <f>MID('[1]Raw Objects'!A36,5,$K$2)</f>
        <v xml:space="preserve">OPEB, Active Employees, classified positions                                    </v>
      </c>
    </row>
    <row r="35" spans="1:11" x14ac:dyDescent="0.2">
      <c r="A35" s="6" t="s">
        <v>74</v>
      </c>
      <c r="B35" s="6" t="s">
        <v>75</v>
      </c>
      <c r="J35" s="6" t="str">
        <f>LEFT('[1]Raw Objects'!A37,4)</f>
        <v>3800</v>
      </c>
      <c r="K35" s="6" t="str">
        <f>MID('[1]Raw Objects'!A37,5,$K$2)</f>
        <v xml:space="preserve">(Obsolete) PERS Reduction                                                       </v>
      </c>
    </row>
    <row r="36" spans="1:11" x14ac:dyDescent="0.2">
      <c r="A36" s="6" t="s">
        <v>76</v>
      </c>
      <c r="B36" s="6" t="s">
        <v>77</v>
      </c>
      <c r="J36" s="6" t="str">
        <f>LEFT('[1]Raw Objects'!A38,4)</f>
        <v>3801</v>
      </c>
      <c r="K36" s="6" t="str">
        <f>MID('[1]Raw Objects'!A38,5,$K$2)</f>
        <v xml:space="preserve">PERS Reduction, certificated positions                                          </v>
      </c>
    </row>
    <row r="37" spans="1:11" x14ac:dyDescent="0.2">
      <c r="A37" s="6" t="s">
        <v>78</v>
      </c>
      <c r="B37" s="6" t="s">
        <v>79</v>
      </c>
      <c r="J37" s="6" t="str">
        <f>LEFT('[1]Raw Objects'!A39,4)</f>
        <v>3802</v>
      </c>
      <c r="K37" s="6" t="str">
        <f>MID('[1]Raw Objects'!A39,5,$K$2)</f>
        <v xml:space="preserve">PERS Reduction, classified positions                                            </v>
      </c>
    </row>
    <row r="38" spans="1:11" x14ac:dyDescent="0.2">
      <c r="A38" s="6" t="s">
        <v>80</v>
      </c>
      <c r="B38" s="6" t="s">
        <v>81</v>
      </c>
      <c r="J38" s="6" t="str">
        <f>LEFT('[1]Raw Objects'!A40,4)</f>
        <v>3900</v>
      </c>
      <c r="K38" s="6" t="str">
        <f>MID('[1]Raw Objects'!A40,5,$K$2)</f>
        <v xml:space="preserve">(Obsolete) Other Benefits                                                       </v>
      </c>
    </row>
    <row r="39" spans="1:11" x14ac:dyDescent="0.2">
      <c r="A39" s="6" t="s">
        <v>82</v>
      </c>
      <c r="B39" s="6" t="s">
        <v>83</v>
      </c>
      <c r="J39" s="6" t="str">
        <f>LEFT('[1]Raw Objects'!A41,4)</f>
        <v>3901</v>
      </c>
      <c r="K39" s="6" t="str">
        <f>MID('[1]Raw Objects'!A41,5,$K$2)</f>
        <v xml:space="preserve">Other Benefits, certificated positions                                          </v>
      </c>
    </row>
    <row r="40" spans="1:11" x14ac:dyDescent="0.2">
      <c r="A40" s="6" t="s">
        <v>84</v>
      </c>
      <c r="B40" s="6" t="s">
        <v>85</v>
      </c>
      <c r="J40" s="6" t="str">
        <f>LEFT('[1]Raw Objects'!A42,4)</f>
        <v>3902</v>
      </c>
      <c r="K40" s="6" t="str">
        <f>MID('[1]Raw Objects'!A42,5,$K$2)</f>
        <v xml:space="preserve">Other Benefits, classified positions                                            </v>
      </c>
    </row>
    <row r="41" spans="1:11" x14ac:dyDescent="0.2">
      <c r="A41" s="6" t="s">
        <v>86</v>
      </c>
      <c r="B41" s="6" t="s">
        <v>87</v>
      </c>
      <c r="J41" s="6" t="str">
        <f>LEFT('[1]Raw Objects'!A43,4)</f>
        <v>4100</v>
      </c>
      <c r="K41" s="6" t="str">
        <f>MID('[1]Raw Objects'!A43,5,$K$2)</f>
        <v xml:space="preserve">Approved Textbooks and Core Curricula Materials                                 </v>
      </c>
    </row>
    <row r="42" spans="1:11" x14ac:dyDescent="0.2">
      <c r="A42" s="6" t="s">
        <v>88</v>
      </c>
      <c r="B42" s="6" t="s">
        <v>89</v>
      </c>
      <c r="J42" s="6" t="str">
        <f>LEFT('[1]Raw Objects'!A44,4)</f>
        <v>4200</v>
      </c>
      <c r="K42" s="6" t="str">
        <f>MID('[1]Raw Objects'!A44,5,$K$2)</f>
        <v xml:space="preserve">Books and Other Reference Materials                                             </v>
      </c>
    </row>
    <row r="43" spans="1:11" x14ac:dyDescent="0.2">
      <c r="A43" s="6" t="s">
        <v>90</v>
      </c>
      <c r="B43" s="6" t="s">
        <v>91</v>
      </c>
      <c r="J43" s="6" t="str">
        <f>LEFT('[1]Raw Objects'!A45,4)</f>
        <v>4300</v>
      </c>
      <c r="K43" s="6" t="str">
        <f>MID('[1]Raw Objects'!A45,5,$K$2)</f>
        <v xml:space="preserve">Materials and Supplies                                                          </v>
      </c>
    </row>
    <row r="44" spans="1:11" x14ac:dyDescent="0.2">
      <c r="A44" s="6" t="s">
        <v>92</v>
      </c>
      <c r="B44" s="6" t="s">
        <v>93</v>
      </c>
      <c r="J44" s="6" t="str">
        <f>LEFT('[1]Raw Objects'!A46,4)</f>
        <v>4400</v>
      </c>
      <c r="K44" s="6" t="str">
        <f>MID('[1]Raw Objects'!A46,5,$K$2)</f>
        <v xml:space="preserve">Noncapitalized Equipment                                                        </v>
      </c>
    </row>
    <row r="45" spans="1:11" x14ac:dyDescent="0.2">
      <c r="A45" s="6" t="s">
        <v>94</v>
      </c>
      <c r="B45" s="6" t="s">
        <v>95</v>
      </c>
      <c r="J45" s="6" t="str">
        <f>LEFT('[1]Raw Objects'!A47,4)</f>
        <v>4700</v>
      </c>
      <c r="K45" s="6" t="str">
        <f>MID('[1]Raw Objects'!A47,5,$K$2)</f>
        <v xml:space="preserve">Food                                                                            </v>
      </c>
    </row>
    <row r="46" spans="1:11" x14ac:dyDescent="0.2">
      <c r="A46" s="6" t="s">
        <v>96</v>
      </c>
      <c r="B46" s="6" t="s">
        <v>97</v>
      </c>
      <c r="J46" s="6" t="str">
        <f>LEFT('[1]Raw Objects'!A48,4)</f>
        <v>5100</v>
      </c>
      <c r="K46" s="6" t="str">
        <f>MID('[1]Raw Objects'!A48,5,$K$2)</f>
        <v xml:space="preserve">Subagreements for Services                                                      </v>
      </c>
    </row>
    <row r="47" spans="1:11" x14ac:dyDescent="0.2">
      <c r="A47" s="6" t="s">
        <v>98</v>
      </c>
      <c r="B47" s="6" t="s">
        <v>99</v>
      </c>
      <c r="J47" s="6" t="str">
        <f>LEFT('[1]Raw Objects'!A49,4)</f>
        <v>5200</v>
      </c>
      <c r="K47" s="6" t="str">
        <f>MID('[1]Raw Objects'!A49,5,$K$2)</f>
        <v xml:space="preserve">Travel and Conferences                                                          </v>
      </c>
    </row>
    <row r="48" spans="1:11" x14ac:dyDescent="0.2">
      <c r="A48" s="6" t="s">
        <v>100</v>
      </c>
      <c r="B48" s="6" t="s">
        <v>101</v>
      </c>
      <c r="J48" s="6" t="str">
        <f>LEFT('[1]Raw Objects'!A50,4)</f>
        <v>5300</v>
      </c>
      <c r="K48" s="6" t="str">
        <f>MID('[1]Raw Objects'!A50,5,$K$2)</f>
        <v xml:space="preserve">Dues and Memberships                                                            </v>
      </c>
    </row>
    <row r="49" spans="1:11" x14ac:dyDescent="0.2">
      <c r="A49" s="6" t="s">
        <v>102</v>
      </c>
      <c r="B49" s="6" t="s">
        <v>103</v>
      </c>
      <c r="J49" s="6" t="str">
        <f>LEFT('[1]Raw Objects'!A51,4)</f>
        <v>5400</v>
      </c>
      <c r="K49" s="6" t="str">
        <f>MID('[1]Raw Objects'!A51,5,$K$2)</f>
        <v xml:space="preserve">Insurance                                                                       </v>
      </c>
    </row>
    <row r="50" spans="1:11" x14ac:dyDescent="0.2">
      <c r="A50" s="6" t="s">
        <v>104</v>
      </c>
      <c r="B50" s="6" t="s">
        <v>105</v>
      </c>
      <c r="J50" s="6" t="str">
        <f>LEFT('[1]Raw Objects'!A52,4)</f>
        <v>5440</v>
      </c>
      <c r="K50" s="6" t="str">
        <f>MID('[1]Raw Objects'!A52,5,$K$2)</f>
        <v xml:space="preserve">Pupil Insurance                                                                 </v>
      </c>
    </row>
    <row r="51" spans="1:11" x14ac:dyDescent="0.2">
      <c r="A51" s="6" t="s">
        <v>106</v>
      </c>
      <c r="B51" s="6" t="s">
        <v>107</v>
      </c>
      <c r="J51" s="6" t="str">
        <f>LEFT('[1]Raw Objects'!A53,4)</f>
        <v>5450</v>
      </c>
      <c r="K51" s="6" t="str">
        <f>MID('[1]Raw Objects'!A53,5,$K$2)</f>
        <v xml:space="preserve">Other Insurance                                                                 </v>
      </c>
    </row>
    <row r="52" spans="1:11" x14ac:dyDescent="0.2">
      <c r="A52" s="6" t="s">
        <v>108</v>
      </c>
      <c r="B52" s="6" t="s">
        <v>109</v>
      </c>
      <c r="J52" s="6" t="str">
        <f>LEFT('[1]Raw Objects'!A54,4)</f>
        <v>5500</v>
      </c>
      <c r="K52" s="6" t="str">
        <f>MID('[1]Raw Objects'!A54,5,$K$2)</f>
        <v xml:space="preserve">Operations and Housekeeping Services                                            </v>
      </c>
    </row>
    <row r="53" spans="1:11" x14ac:dyDescent="0.2">
      <c r="A53" s="6" t="s">
        <v>110</v>
      </c>
      <c r="B53" s="6" t="s">
        <v>111</v>
      </c>
      <c r="J53" s="6" t="str">
        <f>LEFT('[1]Raw Objects'!A55,4)</f>
        <v>5600</v>
      </c>
      <c r="K53" s="6" t="str">
        <f>MID('[1]Raw Objects'!A55,5,$K$2)</f>
        <v xml:space="preserve">Rentals, Leases, Repairs, and Noncapitalized Improvements                       </v>
      </c>
    </row>
    <row r="54" spans="1:11" x14ac:dyDescent="0.2">
      <c r="A54" s="6" t="s">
        <v>112</v>
      </c>
      <c r="B54" s="6" t="s">
        <v>113</v>
      </c>
      <c r="J54" s="6" t="str">
        <f>LEFT('[1]Raw Objects'!A56,4)</f>
        <v>5710</v>
      </c>
      <c r="K54" s="6" t="str">
        <f>MID('[1]Raw Objects'!A56,5,$K$2)</f>
        <v xml:space="preserve">Transfers of Direct Costs                                                       </v>
      </c>
    </row>
    <row r="55" spans="1:11" x14ac:dyDescent="0.2">
      <c r="A55" s="6" t="s">
        <v>114</v>
      </c>
      <c r="B55" s="6" t="s">
        <v>115</v>
      </c>
      <c r="J55" s="6" t="str">
        <f>LEFT('[1]Raw Objects'!A57,4)</f>
        <v>5750</v>
      </c>
      <c r="K55" s="6" t="str">
        <f>MID('[1]Raw Objects'!A57,5,$K$2)</f>
        <v xml:space="preserve">Transfers of Direct Costs - Interfund                                           </v>
      </c>
    </row>
    <row r="56" spans="1:11" x14ac:dyDescent="0.2">
      <c r="A56" s="6" t="s">
        <v>116</v>
      </c>
      <c r="B56" s="6" t="s">
        <v>117</v>
      </c>
      <c r="J56" s="6" t="str">
        <f>LEFT('[1]Raw Objects'!A58,4)</f>
        <v>5800</v>
      </c>
      <c r="K56" s="6" t="str">
        <f>MID('[1]Raw Objects'!A58,5,$K$2)</f>
        <v xml:space="preserve">Professional/Consulting Services and Operating Expenditures                     </v>
      </c>
    </row>
    <row r="57" spans="1:11" x14ac:dyDescent="0.2">
      <c r="A57" s="6" t="s">
        <v>118</v>
      </c>
      <c r="B57" s="6" t="s">
        <v>119</v>
      </c>
      <c r="J57" s="6" t="str">
        <f>LEFT('[1]Raw Objects'!A59,4)</f>
        <v>5900</v>
      </c>
      <c r="K57" s="6" t="str">
        <f>MID('[1]Raw Objects'!A59,5,$K$2)</f>
        <v xml:space="preserve">Communications                                                                  </v>
      </c>
    </row>
    <row r="58" spans="1:11" x14ac:dyDescent="0.2">
      <c r="A58" s="6" t="s">
        <v>120</v>
      </c>
      <c r="B58" s="6" t="s">
        <v>121</v>
      </c>
      <c r="J58" s="6" t="str">
        <f>LEFT('[1]Raw Objects'!A60,4)</f>
        <v>6100</v>
      </c>
      <c r="K58" s="6" t="str">
        <f>MID('[1]Raw Objects'!A60,5,$K$2)</f>
        <v xml:space="preserve">Land                                                                            </v>
      </c>
    </row>
    <row r="59" spans="1:11" x14ac:dyDescent="0.2">
      <c r="A59" s="6" t="s">
        <v>122</v>
      </c>
      <c r="B59" s="6" t="s">
        <v>123</v>
      </c>
      <c r="J59" s="6" t="str">
        <f>LEFT('[1]Raw Objects'!A61,4)</f>
        <v>6170</v>
      </c>
      <c r="K59" s="6" t="str">
        <f>MID('[1]Raw Objects'!A61,5,$K$2)</f>
        <v xml:space="preserve">Land Improvements                                                               </v>
      </c>
    </row>
    <row r="60" spans="1:11" x14ac:dyDescent="0.2">
      <c r="A60" s="6" t="s">
        <v>124</v>
      </c>
      <c r="B60" s="6" t="s">
        <v>125</v>
      </c>
      <c r="J60" s="6" t="str">
        <f>LEFT('[1]Raw Objects'!A62,4)</f>
        <v>6200</v>
      </c>
      <c r="K60" s="6" t="str">
        <f>MID('[1]Raw Objects'!A62,5,$K$2)</f>
        <v xml:space="preserve">Buildings and Improvements of Buildings                                         </v>
      </c>
    </row>
    <row r="61" spans="1:11" x14ac:dyDescent="0.2">
      <c r="A61" s="6" t="s">
        <v>126</v>
      </c>
      <c r="B61" s="6" t="s">
        <v>127</v>
      </c>
      <c r="J61" s="6" t="str">
        <f>LEFT('[1]Raw Objects'!A63,4)</f>
        <v>6300</v>
      </c>
      <c r="K61" s="6" t="str">
        <f>MID('[1]Raw Objects'!A63,5,$K$2)</f>
        <v xml:space="preserve">Books and Media for New School Libraries or Major Expansion of School Libraries </v>
      </c>
    </row>
    <row r="62" spans="1:11" x14ac:dyDescent="0.2">
      <c r="A62" s="6" t="s">
        <v>128</v>
      </c>
      <c r="B62" s="6" t="s">
        <v>129</v>
      </c>
      <c r="J62" s="6" t="str">
        <f>LEFT('[1]Raw Objects'!A64,4)</f>
        <v>6400</v>
      </c>
      <c r="K62" s="6" t="str">
        <f>MID('[1]Raw Objects'!A64,5,$K$2)</f>
        <v xml:space="preserve">Equipment                                                                       </v>
      </c>
    </row>
    <row r="63" spans="1:11" x14ac:dyDescent="0.2">
      <c r="A63" s="6" t="s">
        <v>130</v>
      </c>
      <c r="B63" s="6" t="s">
        <v>131</v>
      </c>
      <c r="J63" s="6" t="str">
        <f>LEFT('[1]Raw Objects'!A65,4)</f>
        <v>6500</v>
      </c>
      <c r="K63" s="6" t="str">
        <f>MID('[1]Raw Objects'!A65,5,$K$2)</f>
        <v xml:space="preserve">Equipment Replacement                                                           </v>
      </c>
    </row>
    <row r="64" spans="1:11" x14ac:dyDescent="0.2">
      <c r="A64" s="6" t="s">
        <v>132</v>
      </c>
      <c r="B64" s="6" t="s">
        <v>133</v>
      </c>
      <c r="J64" s="6" t="str">
        <f>LEFT('[1]Raw Objects'!A66,4)</f>
        <v>6900</v>
      </c>
      <c r="K64" s="6" t="str">
        <f>MID('[1]Raw Objects'!A66,5,$K$2)</f>
        <v xml:space="preserve">Depreciation Expense                                                            </v>
      </c>
    </row>
    <row r="65" spans="1:11" x14ac:dyDescent="0.2">
      <c r="A65" s="6" t="s">
        <v>134</v>
      </c>
      <c r="B65" s="6" t="s">
        <v>135</v>
      </c>
      <c r="J65" s="6" t="str">
        <f>LEFT('[1]Raw Objects'!A67,4)</f>
        <v>7110</v>
      </c>
      <c r="K65" s="6" t="str">
        <f>MID('[1]Raw Objects'!A67,5,$K$2)</f>
        <v xml:space="preserve">Tuition for Instruction Under Interdistrict Attendance Agreements               </v>
      </c>
    </row>
    <row r="66" spans="1:11" x14ac:dyDescent="0.2">
      <c r="A66" s="6" t="s">
        <v>136</v>
      </c>
      <c r="B66" s="6" t="s">
        <v>137</v>
      </c>
      <c r="J66" s="6" t="str">
        <f>LEFT('[1]Raw Objects'!A68,4)</f>
        <v>7130</v>
      </c>
      <c r="K66" s="6" t="str">
        <f>MID('[1]Raw Objects'!A68,5,$K$2)</f>
        <v xml:space="preserve">State Special Schools                                                           </v>
      </c>
    </row>
    <row r="67" spans="1:11" x14ac:dyDescent="0.2">
      <c r="A67" s="6" t="s">
        <v>138</v>
      </c>
      <c r="B67" s="6" t="s">
        <v>139</v>
      </c>
      <c r="J67" s="6" t="str">
        <f>LEFT('[1]Raw Objects'!A69,4)</f>
        <v>7141</v>
      </c>
      <c r="K67" s="6" t="str">
        <f>MID('[1]Raw Objects'!A69,5,$K$2)</f>
        <v>Other Tuition, Excess Costs, and/or Deficit Payments to Districts or Charter Sch</v>
      </c>
    </row>
    <row r="68" spans="1:11" x14ac:dyDescent="0.2">
      <c r="A68" s="6" t="s">
        <v>140</v>
      </c>
      <c r="B68" s="6" t="s">
        <v>141</v>
      </c>
      <c r="J68" s="6" t="str">
        <f>LEFT('[1]Raw Objects'!A70,4)</f>
        <v>7142</v>
      </c>
      <c r="K68" s="6" t="str">
        <f>MID('[1]Raw Objects'!A70,5,$K$2)</f>
        <v xml:space="preserve">Other Tuition, Excess Costs, and/or Deficit Payments to County Offices          </v>
      </c>
    </row>
    <row r="69" spans="1:11" x14ac:dyDescent="0.2">
      <c r="A69" s="6" t="s">
        <v>142</v>
      </c>
      <c r="B69" s="6" t="s">
        <v>143</v>
      </c>
      <c r="J69" s="6" t="str">
        <f>LEFT('[1]Raw Objects'!A71,4)</f>
        <v>7143</v>
      </c>
      <c r="K69" s="6" t="str">
        <f>MID('[1]Raw Objects'!A71,5,$K$2)</f>
        <v xml:space="preserve">Other Tuition, Excess Costs, and/or Deficit Payments to JPAs                    </v>
      </c>
    </row>
    <row r="70" spans="1:11" x14ac:dyDescent="0.2">
      <c r="A70" s="6" t="s">
        <v>144</v>
      </c>
      <c r="B70" s="6" t="s">
        <v>145</v>
      </c>
      <c r="J70" s="6" t="str">
        <f>LEFT('[1]Raw Objects'!A72,4)</f>
        <v>7211</v>
      </c>
      <c r="K70" s="6" t="str">
        <f>MID('[1]Raw Objects'!A72,5,$K$2)</f>
        <v xml:space="preserve">Transfers of Pass-Through Revenues to Districts or Charter Schools              </v>
      </c>
    </row>
    <row r="71" spans="1:11" x14ac:dyDescent="0.2">
      <c r="A71" s="6" t="s">
        <v>146</v>
      </c>
      <c r="B71" s="6" t="s">
        <v>147</v>
      </c>
      <c r="J71" s="6" t="str">
        <f>LEFT('[1]Raw Objects'!A73,4)</f>
        <v>7212</v>
      </c>
      <c r="K71" s="6" t="str">
        <f>MID('[1]Raw Objects'!A73,5,$K$2)</f>
        <v xml:space="preserve">Transfers of Pass-Through Revenues to County Offices                            </v>
      </c>
    </row>
    <row r="72" spans="1:11" x14ac:dyDescent="0.2">
      <c r="A72" s="6" t="s">
        <v>148</v>
      </c>
      <c r="B72" s="6" t="s">
        <v>149</v>
      </c>
      <c r="J72" s="6" t="str">
        <f>LEFT('[1]Raw Objects'!A74,4)</f>
        <v>7213</v>
      </c>
      <c r="K72" s="6" t="str">
        <f>MID('[1]Raw Objects'!A74,5,$K$2)</f>
        <v xml:space="preserve">Transfers of Pass-Through Revenues to JPAs                                      </v>
      </c>
    </row>
    <row r="73" spans="1:11" x14ac:dyDescent="0.2">
      <c r="A73" s="6" t="s">
        <v>150</v>
      </c>
      <c r="B73" s="6" t="s">
        <v>151</v>
      </c>
      <c r="J73" s="6" t="str">
        <f>LEFT('[1]Raw Objects'!A75,4)</f>
        <v>7221</v>
      </c>
      <c r="K73" s="6" t="str">
        <f>MID('[1]Raw Objects'!A75,5,$K$2)</f>
        <v xml:space="preserve">Transfers of Apportionments to Districts or Charter Schools                     </v>
      </c>
    </row>
    <row r="74" spans="1:11" x14ac:dyDescent="0.2">
      <c r="A74" s="6" t="s">
        <v>152</v>
      </c>
      <c r="B74" s="6" t="s">
        <v>153</v>
      </c>
      <c r="J74" s="6" t="str">
        <f>LEFT('[1]Raw Objects'!A76,4)</f>
        <v>7222</v>
      </c>
      <c r="K74" s="6" t="str">
        <f>MID('[1]Raw Objects'!A76,5,$K$2)</f>
        <v xml:space="preserve">Transfers of Apportionments to County Offices                                   </v>
      </c>
    </row>
    <row r="75" spans="1:11" x14ac:dyDescent="0.2">
      <c r="A75" s="6" t="s">
        <v>154</v>
      </c>
      <c r="B75" s="6" t="s">
        <v>155</v>
      </c>
      <c r="J75" s="6" t="str">
        <f>LEFT('[1]Raw Objects'!A77,4)</f>
        <v>7223</v>
      </c>
      <c r="K75" s="6" t="str">
        <f>MID('[1]Raw Objects'!A77,5,$K$2)</f>
        <v xml:space="preserve">Transfers of Apportionments to JPAs                                             </v>
      </c>
    </row>
    <row r="76" spans="1:11" x14ac:dyDescent="0.2">
      <c r="A76" s="6" t="s">
        <v>156</v>
      </c>
      <c r="B76" s="6" t="s">
        <v>157</v>
      </c>
      <c r="J76" s="6" t="str">
        <f>LEFT('[1]Raw Objects'!A78,4)</f>
        <v>7280</v>
      </c>
      <c r="K76" s="6" t="str">
        <f>MID('[1]Raw Objects'!A78,5,$K$2)</f>
        <v xml:space="preserve">(Obsolete) Transfers to Charter Schools in Lieu of Property Taxes               </v>
      </c>
    </row>
    <row r="77" spans="1:11" x14ac:dyDescent="0.2">
      <c r="A77" s="6" t="s">
        <v>158</v>
      </c>
      <c r="B77" s="6" t="s">
        <v>159</v>
      </c>
      <c r="J77" s="6" t="str">
        <f>LEFT('[1]Raw Objects'!A79,4)</f>
        <v>7281</v>
      </c>
      <c r="K77" s="6" t="str">
        <f>MID('[1]Raw Objects'!A79,5,$K$2)</f>
        <v xml:space="preserve">All Other Transfers to Districts or Charter Schools                             </v>
      </c>
    </row>
    <row r="78" spans="1:11" x14ac:dyDescent="0.2">
      <c r="A78" s="6" t="s">
        <v>160</v>
      </c>
      <c r="B78" s="6" t="s">
        <v>161</v>
      </c>
      <c r="J78" s="6" t="str">
        <f>LEFT('[1]Raw Objects'!A80,4)</f>
        <v>7282</v>
      </c>
      <c r="K78" s="6" t="str">
        <f>MID('[1]Raw Objects'!A80,5,$K$2)</f>
        <v xml:space="preserve">All Other Transfers to County Offices                                           </v>
      </c>
    </row>
    <row r="79" spans="1:11" x14ac:dyDescent="0.2">
      <c r="A79" s="6" t="s">
        <v>162</v>
      </c>
      <c r="B79" s="6" t="s">
        <v>163</v>
      </c>
      <c r="J79" s="6" t="str">
        <f>LEFT('[1]Raw Objects'!A81,4)</f>
        <v>7283</v>
      </c>
      <c r="K79" s="6" t="str">
        <f>MID('[1]Raw Objects'!A81,5,$K$2)</f>
        <v xml:space="preserve">All Other Transfers to JPAs                                                     </v>
      </c>
    </row>
    <row r="80" spans="1:11" x14ac:dyDescent="0.2">
      <c r="A80" s="6" t="s">
        <v>164</v>
      </c>
      <c r="B80" s="6" t="s">
        <v>165</v>
      </c>
      <c r="J80" s="6" t="str">
        <f>LEFT('[1]Raw Objects'!A82,4)</f>
        <v>7299</v>
      </c>
      <c r="K80" s="6" t="str">
        <f>MID('[1]Raw Objects'!A82,5,$K$2)</f>
        <v xml:space="preserve">All Other Transfers Out to All Others                                           </v>
      </c>
    </row>
    <row r="81" spans="1:11" x14ac:dyDescent="0.2">
      <c r="A81" s="6" t="s">
        <v>166</v>
      </c>
      <c r="B81" s="6" t="s">
        <v>167</v>
      </c>
      <c r="J81" s="6" t="str">
        <f>LEFT('[1]Raw Objects'!A83,4)</f>
        <v>7310</v>
      </c>
      <c r="K81" s="6" t="str">
        <f>MID('[1]Raw Objects'!A83,5,$K$2)</f>
        <v xml:space="preserve">Transfers of Indirect Costs                                                     </v>
      </c>
    </row>
    <row r="82" spans="1:11" x14ac:dyDescent="0.2">
      <c r="A82" s="6" t="s">
        <v>168</v>
      </c>
      <c r="B82" s="6" t="s">
        <v>169</v>
      </c>
      <c r="J82" s="6" t="str">
        <f>LEFT('[1]Raw Objects'!A84,4)</f>
        <v>7350</v>
      </c>
      <c r="K82" s="6" t="str">
        <f>MID('[1]Raw Objects'!A84,5,$K$2)</f>
        <v xml:space="preserve">Transfers of Indirect Costs - Interfund                                         </v>
      </c>
    </row>
    <row r="83" spans="1:11" x14ac:dyDescent="0.2">
      <c r="A83" s="6" t="s">
        <v>170</v>
      </c>
      <c r="B83" s="6" t="s">
        <v>171</v>
      </c>
      <c r="J83" s="6" t="str">
        <f>LEFT('[1]Raw Objects'!A85,4)</f>
        <v>7370</v>
      </c>
      <c r="K83" s="6" t="str">
        <f>MID('[1]Raw Objects'!A85,5,$K$2)</f>
        <v xml:space="preserve">Transfers of Direct Support Costs                                               </v>
      </c>
    </row>
    <row r="84" spans="1:11" x14ac:dyDescent="0.2">
      <c r="A84" s="6" t="s">
        <v>172</v>
      </c>
      <c r="B84" s="6" t="s">
        <v>173</v>
      </c>
      <c r="J84" s="6" t="str">
        <f>LEFT('[1]Raw Objects'!A86,4)</f>
        <v>7380</v>
      </c>
      <c r="K84" s="6" t="str">
        <f>MID('[1]Raw Objects'!A86,5,$K$2)</f>
        <v xml:space="preserve">Transfers of Direct Support Costs - Interfund                                   </v>
      </c>
    </row>
    <row r="85" spans="1:11" x14ac:dyDescent="0.2">
      <c r="A85" s="6" t="s">
        <v>174</v>
      </c>
      <c r="B85" s="6" t="s">
        <v>175</v>
      </c>
      <c r="J85" s="6" t="str">
        <f>LEFT('[1]Raw Objects'!A87,4)</f>
        <v>7432</v>
      </c>
      <c r="K85" s="6" t="str">
        <f>MID('[1]Raw Objects'!A87,5,$K$2)</f>
        <v xml:space="preserve">State School Building Repayments                                                </v>
      </c>
    </row>
    <row r="86" spans="1:11" x14ac:dyDescent="0.2">
      <c r="A86" s="6" t="s">
        <v>176</v>
      </c>
      <c r="B86" s="6" t="s">
        <v>177</v>
      </c>
      <c r="J86" s="6" t="str">
        <f>LEFT('[1]Raw Objects'!A88,4)</f>
        <v>7433</v>
      </c>
      <c r="K86" s="6" t="str">
        <f>MID('[1]Raw Objects'!A88,5,$K$2)</f>
        <v xml:space="preserve">Bond Redemptions                                                                </v>
      </c>
    </row>
    <row r="87" spans="1:11" x14ac:dyDescent="0.2">
      <c r="A87" s="6" t="s">
        <v>178</v>
      </c>
      <c r="B87" s="6" t="s">
        <v>179</v>
      </c>
      <c r="J87" s="6" t="str">
        <f>LEFT('[1]Raw Objects'!A89,4)</f>
        <v>7434</v>
      </c>
      <c r="K87" s="6" t="str">
        <f>MID('[1]Raw Objects'!A89,5,$K$2)</f>
        <v xml:space="preserve">Bond Interest and Other Service Charges                                         </v>
      </c>
    </row>
    <row r="88" spans="1:11" x14ac:dyDescent="0.2">
      <c r="A88" s="6" t="s">
        <v>180</v>
      </c>
      <c r="B88" s="6" t="s">
        <v>181</v>
      </c>
      <c r="J88" s="6" t="str">
        <f>LEFT('[1]Raw Objects'!A90,4)</f>
        <v>7435</v>
      </c>
      <c r="K88" s="6" t="str">
        <f>MID('[1]Raw Objects'!A90,5,$K$2)</f>
        <v xml:space="preserve">Repayment of State School Building Fund Aid - Proceeds from Bonds               </v>
      </c>
    </row>
    <row r="89" spans="1:11" x14ac:dyDescent="0.2">
      <c r="A89" s="6" t="s">
        <v>182</v>
      </c>
      <c r="B89" s="6" t="s">
        <v>183</v>
      </c>
      <c r="J89" s="6" t="str">
        <f>LEFT('[1]Raw Objects'!A91,4)</f>
        <v>7436</v>
      </c>
      <c r="K89" s="6" t="str">
        <f>MID('[1]Raw Objects'!A91,5,$K$2)</f>
        <v xml:space="preserve">Payments to Original District for Acquisition of Property                       </v>
      </c>
    </row>
    <row r="90" spans="1:11" x14ac:dyDescent="0.2">
      <c r="A90" s="6" t="s">
        <v>184</v>
      </c>
      <c r="B90" s="6" t="s">
        <v>185</v>
      </c>
      <c r="J90" s="6" t="str">
        <f>LEFT('[1]Raw Objects'!A92,4)</f>
        <v>7438</v>
      </c>
      <c r="K90" s="6" t="str">
        <f>MID('[1]Raw Objects'!A92,5,$K$2)</f>
        <v xml:space="preserve">Debt Service - Interest                                                         </v>
      </c>
    </row>
    <row r="91" spans="1:11" x14ac:dyDescent="0.2">
      <c r="A91" s="6" t="s">
        <v>186</v>
      </c>
      <c r="B91" s="6" t="s">
        <v>187</v>
      </c>
      <c r="J91" s="6" t="str">
        <f>LEFT('[1]Raw Objects'!A93,4)</f>
        <v>7439</v>
      </c>
      <c r="K91" s="6" t="str">
        <f>MID('[1]Raw Objects'!A93,5,$K$2)</f>
        <v xml:space="preserve">Other Debt Service - Principal                                                  </v>
      </c>
    </row>
    <row r="92" spans="1:11" x14ac:dyDescent="0.2">
      <c r="A92" s="6" t="s">
        <v>188</v>
      </c>
      <c r="B92" s="6" t="s">
        <v>189</v>
      </c>
      <c r="J92" s="6" t="str">
        <f>LEFT('[1]Raw Objects'!A94,4)</f>
        <v>7611</v>
      </c>
      <c r="K92" s="6" t="str">
        <f>MID('[1]Raw Objects'!A94,5,$K$2)</f>
        <v xml:space="preserve">From General Fund to Child Development Fund                                     </v>
      </c>
    </row>
    <row r="93" spans="1:11" x14ac:dyDescent="0.2">
      <c r="A93" s="6" t="s">
        <v>190</v>
      </c>
      <c r="B93" s="6" t="s">
        <v>191</v>
      </c>
      <c r="J93" s="6" t="str">
        <f>LEFT('[1]Raw Objects'!A95,4)</f>
        <v>7612</v>
      </c>
      <c r="K93" s="6" t="str">
        <f>MID('[1]Raw Objects'!A95,5,$K$2)</f>
        <v xml:space="preserve">Between General Fund and Special Reserve Fund                                   </v>
      </c>
    </row>
    <row r="94" spans="1:11" x14ac:dyDescent="0.2">
      <c r="A94" s="6" t="s">
        <v>192</v>
      </c>
      <c r="B94" s="6" t="s">
        <v>193</v>
      </c>
      <c r="J94" s="6" t="str">
        <f>LEFT('[1]Raw Objects'!A96,4)</f>
        <v>7613</v>
      </c>
      <c r="K94" s="6" t="str">
        <f>MID('[1]Raw Objects'!A96,5,$K$2)</f>
        <v>To State School Building Fund/County School Facilities Fund from All Other Funds</v>
      </c>
    </row>
    <row r="95" spans="1:11" x14ac:dyDescent="0.2">
      <c r="A95" s="6" t="s">
        <v>194</v>
      </c>
      <c r="B95" s="6" t="s">
        <v>195</v>
      </c>
      <c r="J95" s="6" t="str">
        <f>LEFT('[1]Raw Objects'!A97,4)</f>
        <v>7614</v>
      </c>
      <c r="K95" s="6" t="str">
        <f>MID('[1]Raw Objects'!A97,5,$K$2)</f>
        <v xml:space="preserve">From Bond Interest and Redemption Fund to General Fund                          </v>
      </c>
    </row>
    <row r="96" spans="1:11" x14ac:dyDescent="0.2">
      <c r="A96" s="6" t="s">
        <v>196</v>
      </c>
      <c r="B96" s="6" t="s">
        <v>197</v>
      </c>
      <c r="J96" s="6" t="str">
        <f>LEFT('[1]Raw Objects'!A98,4)</f>
        <v>7615</v>
      </c>
      <c r="K96" s="6" t="str">
        <f>MID('[1]Raw Objects'!A98,5,$K$2)</f>
        <v xml:space="preserve">From General, Special Reserve, and Building Funds to Deferred Maintenance Fund  </v>
      </c>
    </row>
    <row r="97" spans="1:11" x14ac:dyDescent="0.2">
      <c r="A97" s="6" t="s">
        <v>198</v>
      </c>
      <c r="B97" s="6" t="s">
        <v>199</v>
      </c>
      <c r="J97" s="6" t="str">
        <f>LEFT('[1]Raw Objects'!A99,4)</f>
        <v>7616</v>
      </c>
      <c r="K97" s="6" t="str">
        <f>MID('[1]Raw Objects'!A99,5,$K$2)</f>
        <v xml:space="preserve">From General Fund to Cafeteria Fund                                             </v>
      </c>
    </row>
    <row r="98" spans="1:11" x14ac:dyDescent="0.2">
      <c r="A98" s="6" t="s">
        <v>200</v>
      </c>
      <c r="B98" s="6" t="s">
        <v>201</v>
      </c>
      <c r="J98" s="6" t="str">
        <f>LEFT('[1]Raw Objects'!A100,4)</f>
        <v>7619</v>
      </c>
      <c r="K98" s="6" t="str">
        <f>MID('[1]Raw Objects'!A100,5,$K$2)</f>
        <v xml:space="preserve">Other Authorized Interfund Transfers Out                                        </v>
      </c>
    </row>
    <row r="99" spans="1:11" x14ac:dyDescent="0.2">
      <c r="A99" s="6" t="s">
        <v>202</v>
      </c>
      <c r="B99" s="6" t="s">
        <v>203</v>
      </c>
      <c r="J99" s="6" t="str">
        <f>LEFT('[1]Raw Objects'!A101,4)</f>
        <v>7632</v>
      </c>
      <c r="K99" s="6" t="str">
        <f>MID('[1]Raw Objects'!A101,5,$K$2)</f>
        <v xml:space="preserve">(Obsolete) State School Building Repayment                                      </v>
      </c>
    </row>
    <row r="100" spans="1:11" x14ac:dyDescent="0.2">
      <c r="A100" s="6" t="s">
        <v>204</v>
      </c>
      <c r="B100" s="6" t="s">
        <v>205</v>
      </c>
      <c r="J100" s="6" t="str">
        <f>LEFT('[1]Raw Objects'!A102,4)</f>
        <v>7633</v>
      </c>
      <c r="K100" s="6" t="str">
        <f>MID('[1]Raw Objects'!A102,5,$K$2)</f>
        <v xml:space="preserve">(Obsolete) Bond Redemptions                                                     </v>
      </c>
    </row>
    <row r="101" spans="1:11" x14ac:dyDescent="0.2">
      <c r="A101" s="6" t="s">
        <v>206</v>
      </c>
      <c r="B101" s="6" t="s">
        <v>207</v>
      </c>
      <c r="J101" s="6" t="str">
        <f>LEFT('[1]Raw Objects'!A103,4)</f>
        <v>7634</v>
      </c>
      <c r="K101" s="6" t="str">
        <f>MID('[1]Raw Objects'!A103,5,$K$2)</f>
        <v xml:space="preserve">(Obsolete) Bond Interest and Other Service Charges                              </v>
      </c>
    </row>
    <row r="102" spans="1:11" x14ac:dyDescent="0.2">
      <c r="A102" s="6" t="s">
        <v>208</v>
      </c>
      <c r="B102" s="6" t="s">
        <v>209</v>
      </c>
      <c r="J102" s="6" t="str">
        <f>LEFT('[1]Raw Objects'!A104,4)</f>
        <v>7635</v>
      </c>
      <c r="K102" s="6" t="str">
        <f>MID('[1]Raw Objects'!A104,5,$K$2)</f>
        <v xml:space="preserve">(Obsolete) Repayment of State School Building Fund Aid - Proceeds from Bonds    </v>
      </c>
    </row>
    <row r="103" spans="1:11" x14ac:dyDescent="0.2">
      <c r="A103" s="6" t="s">
        <v>210</v>
      </c>
      <c r="B103" s="6" t="s">
        <v>211</v>
      </c>
      <c r="J103" s="6" t="str">
        <f>LEFT('[1]Raw Objects'!A105,4)</f>
        <v>7636</v>
      </c>
      <c r="K103" s="6" t="str">
        <f>MID('[1]Raw Objects'!A105,5,$K$2)</f>
        <v xml:space="preserve">(Obsolete) Payments to Original District for Acquisition of Property            </v>
      </c>
    </row>
    <row r="104" spans="1:11" x14ac:dyDescent="0.2">
      <c r="A104" s="6" t="s">
        <v>212</v>
      </c>
      <c r="B104" s="6" t="s">
        <v>213</v>
      </c>
      <c r="J104" s="6" t="str">
        <f>LEFT('[1]Raw Objects'!A106,4)</f>
        <v>7638</v>
      </c>
      <c r="K104" s="6" t="str">
        <f>MID('[1]Raw Objects'!A106,5,$K$2)</f>
        <v xml:space="preserve">(Obsolete) Debt Service - Interest                                              </v>
      </c>
    </row>
    <row r="105" spans="1:11" x14ac:dyDescent="0.2">
      <c r="A105" s="6" t="s">
        <v>214</v>
      </c>
      <c r="B105" s="6" t="s">
        <v>215</v>
      </c>
      <c r="J105" s="6" t="str">
        <f>LEFT('[1]Raw Objects'!A107,4)</f>
        <v>7639</v>
      </c>
      <c r="K105" s="6" t="str">
        <f>MID('[1]Raw Objects'!A107,5,$K$2)</f>
        <v xml:space="preserve">(Obsolete) Other Debt Service - Principal                                       </v>
      </c>
    </row>
    <row r="106" spans="1:11" x14ac:dyDescent="0.2">
      <c r="A106" s="6" t="s">
        <v>216</v>
      </c>
      <c r="B106" s="6" t="s">
        <v>217</v>
      </c>
      <c r="J106" s="6" t="str">
        <f>LEFT('[1]Raw Objects'!A108,4)</f>
        <v>7641</v>
      </c>
      <c r="K106" s="6" t="str">
        <f>MID('[1]Raw Objects'!A108,5,$K$2)</f>
        <v xml:space="preserve">(Obsolete) Long-Term Loan Repayments                                            </v>
      </c>
    </row>
    <row r="107" spans="1:11" x14ac:dyDescent="0.2">
      <c r="A107" s="6" t="s">
        <v>218</v>
      </c>
      <c r="B107" s="6" t="s">
        <v>219</v>
      </c>
      <c r="J107" s="6" t="str">
        <f>LEFT('[1]Raw Objects'!A109,4)</f>
        <v>7649</v>
      </c>
      <c r="K107" s="6" t="str">
        <f>MID('[1]Raw Objects'!A109,5,$K$2)</f>
        <v xml:space="preserve">(Obsolete) Other Loan Repayments                                                </v>
      </c>
    </row>
    <row r="108" spans="1:11" x14ac:dyDescent="0.2">
      <c r="A108" s="6" t="s">
        <v>220</v>
      </c>
      <c r="B108" s="6" t="s">
        <v>221</v>
      </c>
      <c r="J108" s="6" t="str">
        <f>LEFT('[1]Raw Objects'!A110,4)</f>
        <v>7651</v>
      </c>
      <c r="K108" s="6" t="str">
        <f>MID('[1]Raw Objects'!A110,5,$K$2)</f>
        <v xml:space="preserve">Transfers of Funds from Lapsed/Reorganized LEAs                                 </v>
      </c>
    </row>
    <row r="109" spans="1:11" x14ac:dyDescent="0.2">
      <c r="A109" s="6" t="s">
        <v>222</v>
      </c>
      <c r="B109" s="6" t="s">
        <v>223</v>
      </c>
      <c r="J109" s="6" t="str">
        <f>LEFT('[1]Raw Objects'!A111,4)</f>
        <v>7699</v>
      </c>
      <c r="K109" s="6" t="str">
        <f>MID('[1]Raw Objects'!A111,5,$K$2)</f>
        <v xml:space="preserve">All Other Financing Uses                                                        </v>
      </c>
    </row>
    <row r="110" spans="1:11" x14ac:dyDescent="0.2">
      <c r="A110" s="6" t="s">
        <v>224</v>
      </c>
      <c r="B110" s="6" t="s">
        <v>225</v>
      </c>
      <c r="J110" s="6" t="str">
        <f>LEFT('[1]Raw Objects'!A112,4)</f>
        <v>8011</v>
      </c>
      <c r="K110" s="6" t="str">
        <f>MID('[1]Raw Objects'!A112,5,$K$2)</f>
        <v xml:space="preserve">Revenue Limit State Aid - Current Year                                          </v>
      </c>
    </row>
    <row r="111" spans="1:11" x14ac:dyDescent="0.2">
      <c r="A111" s="6" t="s">
        <v>226</v>
      </c>
      <c r="B111" s="6" t="s">
        <v>227</v>
      </c>
      <c r="J111" s="6" t="str">
        <f>LEFT('[1]Raw Objects'!A113,4)</f>
        <v>8015</v>
      </c>
      <c r="K111" s="6" t="str">
        <f>MID('[1]Raw Objects'!A113,5,$K$2)</f>
        <v xml:space="preserve">Charter Schools General Purpose Entitlement - State Aid                         </v>
      </c>
    </row>
    <row r="112" spans="1:11" x14ac:dyDescent="0.2">
      <c r="A112" s="6" t="s">
        <v>228</v>
      </c>
      <c r="B112" s="6" t="s">
        <v>229</v>
      </c>
      <c r="J112" s="6" t="str">
        <f>LEFT('[1]Raw Objects'!A114,4)</f>
        <v>8019</v>
      </c>
      <c r="K112" s="6" t="str">
        <f>MID('[1]Raw Objects'!A114,5,$K$2)</f>
        <v xml:space="preserve">Revenue Limit State Aid - Prior Years                                           </v>
      </c>
    </row>
    <row r="113" spans="1:11" x14ac:dyDescent="0.2">
      <c r="A113" s="6" t="s">
        <v>230</v>
      </c>
      <c r="B113" s="6" t="s">
        <v>231</v>
      </c>
      <c r="J113" s="6" t="str">
        <f>LEFT('[1]Raw Objects'!A115,4)</f>
        <v>8021</v>
      </c>
      <c r="K113" s="6" t="str">
        <f>MID('[1]Raw Objects'!A115,5,$K$2)</f>
        <v xml:space="preserve">Homeowners' Exemptions                                                          </v>
      </c>
    </row>
    <row r="114" spans="1:11" x14ac:dyDescent="0.2">
      <c r="A114" s="6" t="s">
        <v>232</v>
      </c>
      <c r="B114" s="6" t="s">
        <v>233</v>
      </c>
      <c r="J114" s="6" t="str">
        <f>LEFT('[1]Raw Objects'!A116,4)</f>
        <v>8022</v>
      </c>
      <c r="K114" s="6" t="str">
        <f>MID('[1]Raw Objects'!A116,5,$K$2)</f>
        <v xml:space="preserve">Timber Yield Tax                                                                </v>
      </c>
    </row>
    <row r="115" spans="1:11" x14ac:dyDescent="0.2">
      <c r="A115" s="6" t="s">
        <v>234</v>
      </c>
      <c r="B115" s="6" t="s">
        <v>235</v>
      </c>
      <c r="J115" s="6" t="str">
        <f>LEFT('[1]Raw Objects'!A117,4)</f>
        <v>8029</v>
      </c>
      <c r="K115" s="6" t="str">
        <f>MID('[1]Raw Objects'!A117,5,$K$2)</f>
        <v xml:space="preserve">Other Subventions/In-Lieu Taxes                                                 </v>
      </c>
    </row>
    <row r="116" spans="1:11" x14ac:dyDescent="0.2">
      <c r="A116" s="6" t="s">
        <v>236</v>
      </c>
      <c r="B116" s="6" t="s">
        <v>237</v>
      </c>
      <c r="J116" s="6" t="str">
        <f>LEFT('[1]Raw Objects'!A118,4)</f>
        <v>8030</v>
      </c>
      <c r="K116" s="6" t="str">
        <f>MID('[1]Raw Objects'!A118,5,$K$2)</f>
        <v xml:space="preserve">(Obsolete) Trailer Coach Fees                                                   </v>
      </c>
    </row>
    <row r="117" spans="1:11" x14ac:dyDescent="0.2">
      <c r="A117" s="6" t="s">
        <v>238</v>
      </c>
      <c r="B117" s="6" t="s">
        <v>239</v>
      </c>
      <c r="J117" s="6" t="str">
        <f>LEFT('[1]Raw Objects'!A119,4)</f>
        <v>8041</v>
      </c>
      <c r="K117" s="6" t="str">
        <f>MID('[1]Raw Objects'!A119,5,$K$2)</f>
        <v xml:space="preserve">Secured Roll Taxes                                                              </v>
      </c>
    </row>
    <row r="118" spans="1:11" x14ac:dyDescent="0.2">
      <c r="A118" s="6" t="s">
        <v>240</v>
      </c>
      <c r="B118" s="6" t="s">
        <v>241</v>
      </c>
      <c r="J118" s="6" t="str">
        <f>LEFT('[1]Raw Objects'!A120,4)</f>
        <v>8042</v>
      </c>
      <c r="K118" s="6" t="str">
        <f>MID('[1]Raw Objects'!A120,5,$K$2)</f>
        <v xml:space="preserve">Unsecured Roll Taxes                                                            </v>
      </c>
    </row>
    <row r="119" spans="1:11" x14ac:dyDescent="0.2">
      <c r="A119" s="6" t="s">
        <v>242</v>
      </c>
      <c r="B119" s="6" t="s">
        <v>243</v>
      </c>
      <c r="J119" s="6" t="str">
        <f>LEFT('[1]Raw Objects'!A121,4)</f>
        <v>8043</v>
      </c>
      <c r="K119" s="6" t="str">
        <f>MID('[1]Raw Objects'!A121,5,$K$2)</f>
        <v xml:space="preserve">Prior Years' Taxes                                                              </v>
      </c>
    </row>
    <row r="120" spans="1:11" x14ac:dyDescent="0.2">
      <c r="A120" s="6" t="s">
        <v>244</v>
      </c>
      <c r="B120" s="6" t="s">
        <v>245</v>
      </c>
      <c r="J120" s="6" t="str">
        <f>LEFT('[1]Raw Objects'!A122,4)</f>
        <v>8044</v>
      </c>
      <c r="K120" s="6" t="str">
        <f>MID('[1]Raw Objects'!A122,5,$K$2)</f>
        <v xml:space="preserve">Supplemental Taxes                                                              </v>
      </c>
    </row>
    <row r="121" spans="1:11" x14ac:dyDescent="0.2">
      <c r="A121" s="6" t="s">
        <v>246</v>
      </c>
      <c r="B121" s="6" t="s">
        <v>247</v>
      </c>
      <c r="J121" s="6" t="str">
        <f>LEFT('[1]Raw Objects'!A123,4)</f>
        <v>8045</v>
      </c>
      <c r="K121" s="6" t="str">
        <f>MID('[1]Raw Objects'!A123,5,$K$2)</f>
        <v xml:space="preserve">Education Revenue Augmentation Fund (ERAF)                                      </v>
      </c>
    </row>
    <row r="122" spans="1:11" x14ac:dyDescent="0.2">
      <c r="A122" s="6" t="s">
        <v>248</v>
      </c>
      <c r="B122" s="6" t="s">
        <v>249</v>
      </c>
      <c r="J122" s="6" t="str">
        <f>LEFT('[1]Raw Objects'!A124,4)</f>
        <v>8046</v>
      </c>
      <c r="K122" s="6" t="str">
        <f>MID('[1]Raw Objects'!A124,5,$K$2)</f>
        <v xml:space="preserve">Supplemental Educational Revenue Augmentation Fund (SERAF)                      </v>
      </c>
    </row>
    <row r="123" spans="1:11" x14ac:dyDescent="0.2">
      <c r="A123" s="6" t="s">
        <v>250</v>
      </c>
      <c r="B123" s="6" t="s">
        <v>251</v>
      </c>
      <c r="J123" s="6" t="str">
        <f>LEFT('[1]Raw Objects'!A125,4)</f>
        <v>8047</v>
      </c>
      <c r="K123" s="6" t="str">
        <f>MID('[1]Raw Objects'!A125,5,$K$2)</f>
        <v xml:space="preserve">Community Redevelopment Funds                                                   </v>
      </c>
    </row>
    <row r="124" spans="1:11" x14ac:dyDescent="0.2">
      <c r="A124" s="6" t="s">
        <v>252</v>
      </c>
      <c r="B124" s="6" t="s">
        <v>253</v>
      </c>
      <c r="J124" s="6" t="str">
        <f>LEFT('[1]Raw Objects'!A126,4)</f>
        <v>8048</v>
      </c>
      <c r="K124" s="6" t="str">
        <f>MID('[1]Raw Objects'!A126,5,$K$2)</f>
        <v xml:space="preserve">Penalties and Interest from Delinquent Taxes                                    </v>
      </c>
    </row>
    <row r="125" spans="1:11" x14ac:dyDescent="0.2">
      <c r="A125" s="6" t="s">
        <v>254</v>
      </c>
      <c r="B125" s="6" t="s">
        <v>255</v>
      </c>
      <c r="J125" s="6" t="str">
        <f>LEFT('[1]Raw Objects'!A127,4)</f>
        <v>8070</v>
      </c>
      <c r="K125" s="6" t="str">
        <f>MID('[1]Raw Objects'!A127,5,$K$2)</f>
        <v xml:space="preserve">Receipts from County Board of Supervisors                                       </v>
      </c>
    </row>
    <row r="126" spans="1:11" x14ac:dyDescent="0.2">
      <c r="A126" s="6" t="s">
        <v>256</v>
      </c>
      <c r="B126" s="6" t="s">
        <v>257</v>
      </c>
      <c r="J126" s="6" t="str">
        <f>LEFT('[1]Raw Objects'!A128,4)</f>
        <v>8081</v>
      </c>
      <c r="K126" s="6" t="str">
        <f>MID('[1]Raw Objects'!A128,5,$K$2)</f>
        <v xml:space="preserve">Royalties and Bonuses                                                           </v>
      </c>
    </row>
    <row r="127" spans="1:11" x14ac:dyDescent="0.2">
      <c r="A127" s="6" t="s">
        <v>258</v>
      </c>
      <c r="B127" s="6" t="s">
        <v>259</v>
      </c>
      <c r="J127" s="6" t="str">
        <f>LEFT('[1]Raw Objects'!A129,4)</f>
        <v>8082</v>
      </c>
      <c r="K127" s="6" t="str">
        <f>MID('[1]Raw Objects'!A129,5,$K$2)</f>
        <v xml:space="preserve">Other In-Lieu Taxes                                                             </v>
      </c>
    </row>
    <row r="128" spans="1:11" x14ac:dyDescent="0.2">
      <c r="A128" s="6" t="s">
        <v>260</v>
      </c>
      <c r="B128" s="6" t="s">
        <v>261</v>
      </c>
      <c r="J128" s="6" t="str">
        <f>LEFT('[1]Raw Objects'!A130,4)</f>
        <v>8089</v>
      </c>
      <c r="K128" s="6" t="str">
        <f>MID('[1]Raw Objects'!A130,5,$K$2)</f>
        <v xml:space="preserve">Less: Non-Revenue Limit (50 Percent) Adjustment                                 </v>
      </c>
    </row>
    <row r="129" spans="1:11" x14ac:dyDescent="0.2">
      <c r="A129" s="6" t="s">
        <v>262</v>
      </c>
      <c r="B129" s="6" t="s">
        <v>263</v>
      </c>
      <c r="J129" s="6" t="str">
        <f>LEFT('[1]Raw Objects'!A131,4)</f>
        <v>8091</v>
      </c>
      <c r="K129" s="6" t="str">
        <f>MID('[1]Raw Objects'!A131,5,$K$2)</f>
        <v xml:space="preserve">Revenue Limit Transfers - Current Year                                          </v>
      </c>
    </row>
    <row r="130" spans="1:11" x14ac:dyDescent="0.2">
      <c r="A130" s="6" t="s">
        <v>264</v>
      </c>
      <c r="B130" s="6" t="s">
        <v>265</v>
      </c>
      <c r="J130" s="6" t="str">
        <f>LEFT('[1]Raw Objects'!A132,4)</f>
        <v>8092</v>
      </c>
      <c r="K130" s="6" t="str">
        <f>MID('[1]Raw Objects'!A132,5,$K$2)</f>
        <v xml:space="preserve">PERS Reduction Transfer                                                         </v>
      </c>
    </row>
    <row r="131" spans="1:11" x14ac:dyDescent="0.2">
      <c r="A131" s="6" t="s">
        <v>266</v>
      </c>
      <c r="B131" s="6" t="s">
        <v>267</v>
      </c>
      <c r="J131" s="6" t="str">
        <f>LEFT('[1]Raw Objects'!A133,4)</f>
        <v>8096</v>
      </c>
      <c r="K131" s="6" t="str">
        <f>MID('[1]Raw Objects'!A133,5,$K$2)</f>
        <v xml:space="preserve">Transfers to Charter Schools in Lieu of Property Taxes                          </v>
      </c>
    </row>
    <row r="132" spans="1:11" x14ac:dyDescent="0.2">
      <c r="A132" s="6" t="s">
        <v>268</v>
      </c>
      <c r="B132" s="6" t="s">
        <v>269</v>
      </c>
      <c r="J132" s="6" t="str">
        <f>LEFT('[1]Raw Objects'!A134,4)</f>
        <v>8097</v>
      </c>
      <c r="K132" s="6" t="str">
        <f>MID('[1]Raw Objects'!A134,5,$K$2)</f>
        <v xml:space="preserve">Property Taxes Transfers                                                        </v>
      </c>
    </row>
    <row r="133" spans="1:11" x14ac:dyDescent="0.2">
      <c r="A133" s="6" t="s">
        <v>270</v>
      </c>
      <c r="B133" s="6" t="s">
        <v>271</v>
      </c>
      <c r="J133" s="6" t="str">
        <f>LEFT('[1]Raw Objects'!A135,4)</f>
        <v>8099</v>
      </c>
      <c r="K133" s="6" t="str">
        <f>MID('[1]Raw Objects'!A135,5,$K$2)</f>
        <v xml:space="preserve">Revenue Limit Transfers - Prior Years                                           </v>
      </c>
    </row>
    <row r="134" spans="1:11" x14ac:dyDescent="0.2">
      <c r="A134" s="6" t="s">
        <v>272</v>
      </c>
      <c r="B134" s="6" t="s">
        <v>273</v>
      </c>
      <c r="J134" s="6" t="str">
        <f>LEFT('[1]Raw Objects'!A136,4)</f>
        <v>8110</v>
      </c>
      <c r="K134" s="6" t="str">
        <f>MID('[1]Raw Objects'!A136,5,$K$2)</f>
        <v xml:space="preserve">Maintenance and Operations (Public Law 81-874)                                  </v>
      </c>
    </row>
    <row r="135" spans="1:11" x14ac:dyDescent="0.2">
      <c r="A135" s="6" t="s">
        <v>274</v>
      </c>
      <c r="B135" s="6" t="s">
        <v>275</v>
      </c>
      <c r="J135" s="6" t="str">
        <f>LEFT('[1]Raw Objects'!A137,4)</f>
        <v>8181</v>
      </c>
      <c r="K135" s="6" t="str">
        <f>MID('[1]Raw Objects'!A137,5,$K$2)</f>
        <v xml:space="preserve">Special Education - Entitlement                                                 </v>
      </c>
    </row>
    <row r="136" spans="1:11" x14ac:dyDescent="0.2">
      <c r="A136" s="6" t="s">
        <v>276</v>
      </c>
      <c r="B136" s="6" t="s">
        <v>277</v>
      </c>
      <c r="J136" s="6" t="str">
        <f>LEFT('[1]Raw Objects'!A138,4)</f>
        <v>8182</v>
      </c>
      <c r="K136" s="6" t="str">
        <f>MID('[1]Raw Objects'!A138,5,$K$2)</f>
        <v xml:space="preserve">Special Education - Discretionary Grants                                        </v>
      </c>
    </row>
    <row r="137" spans="1:11" x14ac:dyDescent="0.2">
      <c r="A137" s="6" t="s">
        <v>278</v>
      </c>
      <c r="B137" s="6" t="s">
        <v>279</v>
      </c>
      <c r="J137" s="6" t="str">
        <f>LEFT('[1]Raw Objects'!A139,4)</f>
        <v>8220</v>
      </c>
      <c r="K137" s="6" t="str">
        <f>MID('[1]Raw Objects'!A139,5,$K$2)</f>
        <v xml:space="preserve">Child Nutrition Programs                                                        </v>
      </c>
    </row>
    <row r="138" spans="1:11" x14ac:dyDescent="0.2">
      <c r="A138" s="6" t="s">
        <v>280</v>
      </c>
      <c r="B138" s="6" t="s">
        <v>281</v>
      </c>
      <c r="J138" s="6" t="str">
        <f>LEFT('[1]Raw Objects'!A140,4)</f>
        <v>8260</v>
      </c>
      <c r="K138" s="6" t="str">
        <f>MID('[1]Raw Objects'!A140,5,$K$2)</f>
        <v xml:space="preserve">Forest Reserve Funds                                                            </v>
      </c>
    </row>
    <row r="139" spans="1:11" x14ac:dyDescent="0.2">
      <c r="A139" s="6" t="s">
        <v>282</v>
      </c>
      <c r="B139" s="6" t="s">
        <v>283</v>
      </c>
      <c r="J139" s="6" t="str">
        <f>LEFT('[1]Raw Objects'!A141,4)</f>
        <v>8270</v>
      </c>
      <c r="K139" s="6" t="str">
        <f>MID('[1]Raw Objects'!A141,5,$K$2)</f>
        <v xml:space="preserve">Flood Control Funds                                                             </v>
      </c>
    </row>
    <row r="140" spans="1:11" x14ac:dyDescent="0.2">
      <c r="A140" s="6" t="s">
        <v>284</v>
      </c>
      <c r="B140" s="6" t="s">
        <v>285</v>
      </c>
      <c r="J140" s="6" t="str">
        <f>LEFT('[1]Raw Objects'!A142,4)</f>
        <v>8280</v>
      </c>
      <c r="K140" s="6" t="str">
        <f>MID('[1]Raw Objects'!A142,5,$K$2)</f>
        <v xml:space="preserve">U.S. Wildlife Reserve Funds                                                     </v>
      </c>
    </row>
    <row r="141" spans="1:11" x14ac:dyDescent="0.2">
      <c r="A141" s="6" t="s">
        <v>286</v>
      </c>
      <c r="B141" s="6" t="s">
        <v>287</v>
      </c>
      <c r="J141" s="6" t="str">
        <f>LEFT('[1]Raw Objects'!A143,4)</f>
        <v>8281</v>
      </c>
      <c r="K141" s="6" t="str">
        <f>MID('[1]Raw Objects'!A143,5,$K$2)</f>
        <v xml:space="preserve">FEMA                                                                            </v>
      </c>
    </row>
    <row r="142" spans="1:11" x14ac:dyDescent="0.2">
      <c r="A142" s="6" t="s">
        <v>288</v>
      </c>
      <c r="B142" s="6" t="s">
        <v>289</v>
      </c>
      <c r="J142" s="6" t="str">
        <f>LEFT('[1]Raw Objects'!A144,4)</f>
        <v>8285</v>
      </c>
      <c r="K142" s="6" t="str">
        <f>MID('[1]Raw Objects'!A144,5,$K$2)</f>
        <v xml:space="preserve">Interagency Contracts Between LEAs                                              </v>
      </c>
    </row>
    <row r="143" spans="1:11" x14ac:dyDescent="0.2">
      <c r="A143" s="6" t="s">
        <v>290</v>
      </c>
      <c r="B143" s="6" t="s">
        <v>291</v>
      </c>
      <c r="J143" s="6" t="str">
        <f>LEFT('[1]Raw Objects'!A145,4)</f>
        <v>8287</v>
      </c>
      <c r="K143" s="6" t="str">
        <f>MID('[1]Raw Objects'!A145,5,$K$2)</f>
        <v xml:space="preserve">Pass-Through Revenues from Federal Sources                                      </v>
      </c>
    </row>
    <row r="144" spans="1:11" x14ac:dyDescent="0.2">
      <c r="A144" s="6" t="s">
        <v>292</v>
      </c>
      <c r="B144" s="6" t="s">
        <v>293</v>
      </c>
      <c r="J144" s="6" t="str">
        <f>LEFT('[1]Raw Objects'!A146,4)</f>
        <v>8290</v>
      </c>
      <c r="K144" s="6" t="str">
        <f>MID('[1]Raw Objects'!A146,5,$K$2)</f>
        <v xml:space="preserve">All Other Federal Revenue                                                       </v>
      </c>
    </row>
    <row r="145" spans="1:11" x14ac:dyDescent="0.2">
      <c r="A145" s="6" t="s">
        <v>294</v>
      </c>
      <c r="B145" s="6" t="s">
        <v>295</v>
      </c>
      <c r="J145" s="6" t="str">
        <f>LEFT('[1]Raw Objects'!A147,4)</f>
        <v>8311</v>
      </c>
      <c r="K145" s="6" t="str">
        <f>MID('[1]Raw Objects'!A147,5,$K$2)</f>
        <v xml:space="preserve">Other State Apportionments - Current Year                                       </v>
      </c>
    </row>
    <row r="146" spans="1:11" x14ac:dyDescent="0.2">
      <c r="A146" s="6" t="s">
        <v>296</v>
      </c>
      <c r="B146" s="6" t="s">
        <v>297</v>
      </c>
      <c r="J146" s="6" t="str">
        <f>LEFT('[1]Raw Objects'!A148,4)</f>
        <v>8319</v>
      </c>
      <c r="K146" s="6" t="str">
        <f>MID('[1]Raw Objects'!A148,5,$K$2)</f>
        <v xml:space="preserve">Other State Apportionments - Prior Years                                        </v>
      </c>
    </row>
    <row r="147" spans="1:11" x14ac:dyDescent="0.2">
      <c r="A147" s="6" t="s">
        <v>298</v>
      </c>
      <c r="B147" s="6" t="s">
        <v>299</v>
      </c>
      <c r="J147" s="6" t="str">
        <f>LEFT('[1]Raw Objects'!A149,4)</f>
        <v>8425</v>
      </c>
      <c r="K147" s="6" t="str">
        <f>MID('[1]Raw Objects'!A149,5,$K$2)</f>
        <v xml:space="preserve">Year-Round School Incentive                                                     </v>
      </c>
    </row>
    <row r="148" spans="1:11" x14ac:dyDescent="0.2">
      <c r="A148" s="6" t="s">
        <v>300</v>
      </c>
      <c r="B148" s="6" t="s">
        <v>301</v>
      </c>
      <c r="J148" s="6" t="str">
        <f>LEFT('[1]Raw Objects'!A150,4)</f>
        <v>8434</v>
      </c>
      <c r="K148" s="6" t="str">
        <f>MID('[1]Raw Objects'!A150,5,$K$2)</f>
        <v xml:space="preserve">Class Size Reduction, Grades K-3                                                </v>
      </c>
    </row>
    <row r="149" spans="1:11" x14ac:dyDescent="0.2">
      <c r="A149" s="6" t="s">
        <v>302</v>
      </c>
      <c r="B149" s="6" t="s">
        <v>303</v>
      </c>
      <c r="J149" s="6" t="str">
        <f>LEFT('[1]Raw Objects'!A151,4)</f>
        <v>8435</v>
      </c>
      <c r="K149" s="6" t="str">
        <f>MID('[1]Raw Objects'!A151,5,$K$2)</f>
        <v xml:space="preserve">Class Size Reduction, Grade Nine                                                </v>
      </c>
    </row>
    <row r="150" spans="1:11" x14ac:dyDescent="0.2">
      <c r="A150" s="6" t="s">
        <v>304</v>
      </c>
      <c r="B150" s="6" t="s">
        <v>305</v>
      </c>
      <c r="J150" s="6" t="str">
        <f>LEFT('[1]Raw Objects'!A152,4)</f>
        <v>8480</v>
      </c>
      <c r="K150" s="6" t="str">
        <f>MID('[1]Raw Objects'!A152,5,$K$2)</f>
        <v xml:space="preserve">Charter Schools Categorical Block Grant                                         </v>
      </c>
    </row>
    <row r="151" spans="1:11" x14ac:dyDescent="0.2">
      <c r="A151" s="6" t="s">
        <v>306</v>
      </c>
      <c r="B151" s="6" t="s">
        <v>307</v>
      </c>
      <c r="J151" s="6" t="str">
        <f>LEFT('[1]Raw Objects'!A153,4)</f>
        <v>8520</v>
      </c>
      <c r="K151" s="6" t="str">
        <f>MID('[1]Raw Objects'!A153,5,$K$2)</f>
        <v xml:space="preserve">Child Nutrition                                                                 </v>
      </c>
    </row>
    <row r="152" spans="1:11" x14ac:dyDescent="0.2">
      <c r="A152" s="6" t="s">
        <v>308</v>
      </c>
      <c r="B152" s="6" t="s">
        <v>309</v>
      </c>
      <c r="J152" s="6" t="str">
        <f>LEFT('[1]Raw Objects'!A154,4)</f>
        <v>8530</v>
      </c>
      <c r="K152" s="6" t="str">
        <f>MID('[1]Raw Objects'!A154,5,$K$2)</f>
        <v xml:space="preserve">Child Development Apportionments                                                </v>
      </c>
    </row>
    <row r="153" spans="1:11" x14ac:dyDescent="0.2">
      <c r="A153" s="6" t="s">
        <v>310</v>
      </c>
      <c r="B153" s="6" t="s">
        <v>311</v>
      </c>
      <c r="J153" s="6" t="str">
        <f>LEFT('[1]Raw Objects'!A155,4)</f>
        <v>8540</v>
      </c>
      <c r="K153" s="6" t="str">
        <f>MID('[1]Raw Objects'!A155,5,$K$2)</f>
        <v xml:space="preserve">Deferred Maintenance Allowance                                                  </v>
      </c>
    </row>
    <row r="154" spans="1:11" x14ac:dyDescent="0.2">
      <c r="A154" s="6" t="s">
        <v>312</v>
      </c>
      <c r="B154" s="6" t="s">
        <v>313</v>
      </c>
      <c r="J154" s="6" t="str">
        <f>LEFT('[1]Raw Objects'!A156,4)</f>
        <v>8545</v>
      </c>
      <c r="K154" s="6" t="str">
        <f>MID('[1]Raw Objects'!A156,5,$K$2)</f>
        <v xml:space="preserve">School Facilities Apportionments                                                </v>
      </c>
    </row>
    <row r="155" spans="1:11" x14ac:dyDescent="0.2">
      <c r="A155" s="6" t="s">
        <v>314</v>
      </c>
      <c r="B155" s="6" t="s">
        <v>315</v>
      </c>
      <c r="J155" s="6" t="str">
        <f>LEFT('[1]Raw Objects'!A157,4)</f>
        <v>8550</v>
      </c>
      <c r="K155" s="6" t="str">
        <f>MID('[1]Raw Objects'!A157,5,$K$2)</f>
        <v xml:space="preserve">Mandated Cost Reimbursements                                                    </v>
      </c>
    </row>
    <row r="156" spans="1:11" x14ac:dyDescent="0.2">
      <c r="A156" s="6" t="s">
        <v>316</v>
      </c>
      <c r="B156" s="6" t="s">
        <v>317</v>
      </c>
      <c r="J156" s="6" t="str">
        <f>LEFT('[1]Raw Objects'!A158,4)</f>
        <v>8560</v>
      </c>
      <c r="K156" s="6" t="str">
        <f>MID('[1]Raw Objects'!A158,5,$K$2)</f>
        <v xml:space="preserve">State Lottery Revenue                                                           </v>
      </c>
    </row>
    <row r="157" spans="1:11" x14ac:dyDescent="0.2">
      <c r="A157" s="6" t="s">
        <v>318</v>
      </c>
      <c r="B157" s="6" t="s">
        <v>319</v>
      </c>
      <c r="J157" s="6" t="str">
        <f>LEFT('[1]Raw Objects'!A159,4)</f>
        <v>8571</v>
      </c>
      <c r="K157" s="6" t="str">
        <f>MID('[1]Raw Objects'!A159,5,$K$2)</f>
        <v xml:space="preserve">Voted Indebtedness Levies, Homeowners' Exemptions                               </v>
      </c>
    </row>
    <row r="158" spans="1:11" x14ac:dyDescent="0.2">
      <c r="A158" s="6" t="s">
        <v>320</v>
      </c>
      <c r="B158" s="6" t="s">
        <v>321</v>
      </c>
      <c r="J158" s="6" t="str">
        <f>LEFT('[1]Raw Objects'!A160,4)</f>
        <v>8572</v>
      </c>
      <c r="K158" s="6" t="str">
        <f>MID('[1]Raw Objects'!A160,5,$K$2)</f>
        <v xml:space="preserve">Voted Indebtedness Levies, Other Subventions/In-Lieu Taxes                      </v>
      </c>
    </row>
    <row r="159" spans="1:11" x14ac:dyDescent="0.2">
      <c r="A159" s="6" t="s">
        <v>322</v>
      </c>
      <c r="B159" s="6" t="s">
        <v>323</v>
      </c>
      <c r="J159" s="6" t="str">
        <f>LEFT('[1]Raw Objects'!A161,4)</f>
        <v>8575</v>
      </c>
      <c r="K159" s="6" t="str">
        <f>MID('[1]Raw Objects'!A161,5,$K$2)</f>
        <v xml:space="preserve">Other Restricted Levies, Homeowners' Exemptions                                 </v>
      </c>
    </row>
    <row r="160" spans="1:11" x14ac:dyDescent="0.2">
      <c r="A160" s="6" t="s">
        <v>324</v>
      </c>
      <c r="B160" s="6" t="s">
        <v>325</v>
      </c>
      <c r="J160" s="6" t="str">
        <f>LEFT('[1]Raw Objects'!A162,4)</f>
        <v>8576</v>
      </c>
      <c r="K160" s="6" t="str">
        <f>MID('[1]Raw Objects'!A162,5,$K$2)</f>
        <v xml:space="preserve">Other Restricted Levies, Other Subventions/In-Lieu Taxes                        </v>
      </c>
    </row>
    <row r="161" spans="1:11" x14ac:dyDescent="0.2">
      <c r="A161" s="6" t="s">
        <v>326</v>
      </c>
      <c r="B161" s="6" t="s">
        <v>327</v>
      </c>
      <c r="J161" s="6" t="str">
        <f>LEFT('[1]Raw Objects'!A163,4)</f>
        <v>8587</v>
      </c>
      <c r="K161" s="6" t="str">
        <f>MID('[1]Raw Objects'!A163,5,$K$2)</f>
        <v xml:space="preserve">Pass-Through Revenues from State Sources                                        </v>
      </c>
    </row>
    <row r="162" spans="1:11" x14ac:dyDescent="0.2">
      <c r="A162" s="6" t="s">
        <v>328</v>
      </c>
      <c r="B162" s="6" t="s">
        <v>329</v>
      </c>
      <c r="J162" s="6" t="str">
        <f>LEFT('[1]Raw Objects'!A164,4)</f>
        <v>8590</v>
      </c>
      <c r="K162" s="6" t="str">
        <f>MID('[1]Raw Objects'!A164,5,$K$2)</f>
        <v xml:space="preserve">All Other State Revenue                                                         </v>
      </c>
    </row>
    <row r="163" spans="1:11" x14ac:dyDescent="0.2">
      <c r="A163" s="6" t="s">
        <v>330</v>
      </c>
      <c r="B163" s="6" t="s">
        <v>331</v>
      </c>
      <c r="J163" s="6" t="str">
        <f>LEFT('[1]Raw Objects'!A165,4)</f>
        <v>8611</v>
      </c>
      <c r="K163" s="6" t="str">
        <f>MID('[1]Raw Objects'!A165,5,$K$2)</f>
        <v xml:space="preserve">Voted Indebtedness Levies, Secured Roll                                         </v>
      </c>
    </row>
    <row r="164" spans="1:11" x14ac:dyDescent="0.2">
      <c r="A164" s="6" t="s">
        <v>332</v>
      </c>
      <c r="B164" s="6" t="s">
        <v>333</v>
      </c>
      <c r="J164" s="6" t="str">
        <f>LEFT('[1]Raw Objects'!A166,4)</f>
        <v>8612</v>
      </c>
      <c r="K164" s="6" t="str">
        <f>MID('[1]Raw Objects'!A166,5,$K$2)</f>
        <v xml:space="preserve">Voted Indebtedness Levies, Unsecured Roll                                       </v>
      </c>
    </row>
    <row r="165" spans="1:11" x14ac:dyDescent="0.2">
      <c r="A165" s="6" t="s">
        <v>334</v>
      </c>
      <c r="B165" s="6" t="s">
        <v>335</v>
      </c>
      <c r="J165" s="6" t="str">
        <f>LEFT('[1]Raw Objects'!A167,4)</f>
        <v>8613</v>
      </c>
      <c r="K165" s="6" t="str">
        <f>MID('[1]Raw Objects'!A167,5,$K$2)</f>
        <v xml:space="preserve">Voted Indebtedness Levies, Prior Years' Taxes                                   </v>
      </c>
    </row>
    <row r="166" spans="1:11" x14ac:dyDescent="0.2">
      <c r="A166" s="6" t="s">
        <v>336</v>
      </c>
      <c r="B166" s="6" t="s">
        <v>337</v>
      </c>
      <c r="J166" s="6" t="str">
        <f>LEFT('[1]Raw Objects'!A168,4)</f>
        <v>8614</v>
      </c>
      <c r="K166" s="6" t="str">
        <f>MID('[1]Raw Objects'!A168,5,$K$2)</f>
        <v xml:space="preserve">Voted Indebtedness Levies, Supplemental Taxes                                   </v>
      </c>
    </row>
    <row r="167" spans="1:11" x14ac:dyDescent="0.2">
      <c r="A167" s="6" t="s">
        <v>338</v>
      </c>
      <c r="B167" s="6" t="s">
        <v>339</v>
      </c>
      <c r="J167" s="6" t="str">
        <f>LEFT('[1]Raw Objects'!A169,4)</f>
        <v>8615</v>
      </c>
      <c r="K167" s="6" t="str">
        <f>MID('[1]Raw Objects'!A169,5,$K$2)</f>
        <v xml:space="preserve">Other Restricted Levies, Secured Roll                                           </v>
      </c>
    </row>
    <row r="168" spans="1:11" x14ac:dyDescent="0.2">
      <c r="A168" s="6" t="s">
        <v>340</v>
      </c>
      <c r="B168" s="6" t="s">
        <v>341</v>
      </c>
      <c r="J168" s="6" t="str">
        <f>LEFT('[1]Raw Objects'!A170,4)</f>
        <v>8616</v>
      </c>
      <c r="K168" s="6" t="str">
        <f>MID('[1]Raw Objects'!A170,5,$K$2)</f>
        <v xml:space="preserve">Other Restricted Levies, Unsecured Roll                                         </v>
      </c>
    </row>
    <row r="169" spans="1:11" x14ac:dyDescent="0.2">
      <c r="A169" s="6" t="s">
        <v>342</v>
      </c>
      <c r="B169" s="6" t="s">
        <v>343</v>
      </c>
      <c r="J169" s="6" t="str">
        <f>LEFT('[1]Raw Objects'!A171,4)</f>
        <v>8617</v>
      </c>
      <c r="K169" s="6" t="str">
        <f>MID('[1]Raw Objects'!A171,5,$K$2)</f>
        <v xml:space="preserve">Other Restricted Levies, Prior Years' Taxes                                     </v>
      </c>
    </row>
    <row r="170" spans="1:11" x14ac:dyDescent="0.2">
      <c r="A170" s="6" t="s">
        <v>344</v>
      </c>
      <c r="B170" s="6" t="s">
        <v>345</v>
      </c>
      <c r="J170" s="6" t="str">
        <f>LEFT('[1]Raw Objects'!A172,4)</f>
        <v>8618</v>
      </c>
      <c r="K170" s="6" t="str">
        <f>MID('[1]Raw Objects'!A172,5,$K$2)</f>
        <v xml:space="preserve">Other Restricted Levies, Supplemental Taxes                                     </v>
      </c>
    </row>
    <row r="171" spans="1:11" x14ac:dyDescent="0.2">
      <c r="A171" s="6" t="s">
        <v>346</v>
      </c>
      <c r="B171" s="6" t="s">
        <v>347</v>
      </c>
      <c r="J171" s="6" t="str">
        <f>LEFT('[1]Raw Objects'!A173,4)</f>
        <v>8621</v>
      </c>
      <c r="K171" s="6" t="str">
        <f>MID('[1]Raw Objects'!A173,5,$K$2)</f>
        <v xml:space="preserve">Parcel Taxes                                                                    </v>
      </c>
    </row>
    <row r="172" spans="1:11" x14ac:dyDescent="0.2">
      <c r="A172" s="6" t="s">
        <v>348</v>
      </c>
      <c r="B172" s="6" t="s">
        <v>349</v>
      </c>
      <c r="J172" s="6" t="str">
        <f>LEFT('[1]Raw Objects'!A174,4)</f>
        <v>8622</v>
      </c>
      <c r="K172" s="6" t="str">
        <f>MID('[1]Raw Objects'!A174,5,$K$2)</f>
        <v xml:space="preserve">Other Non-Ad Valorem Taxes                                                      </v>
      </c>
    </row>
    <row r="173" spans="1:11" x14ac:dyDescent="0.2">
      <c r="A173" s="6" t="s">
        <v>350</v>
      </c>
      <c r="B173" s="6" t="s">
        <v>351</v>
      </c>
      <c r="J173" s="6" t="str">
        <f>LEFT('[1]Raw Objects'!A175,4)</f>
        <v>8625</v>
      </c>
      <c r="K173" s="6" t="str">
        <f>MID('[1]Raw Objects'!A175,5,$K$2)</f>
        <v xml:space="preserve">Community Redevelopment Funds Not Subject to Revenue Limit Deduction            </v>
      </c>
    </row>
    <row r="174" spans="1:11" x14ac:dyDescent="0.2">
      <c r="A174" s="6" t="s">
        <v>352</v>
      </c>
      <c r="B174" s="6" t="s">
        <v>353</v>
      </c>
      <c r="J174" s="6" t="str">
        <f>LEFT('[1]Raw Objects'!A176,4)</f>
        <v>8629</v>
      </c>
      <c r="K174" s="6" t="str">
        <f>MID('[1]Raw Objects'!A176,5,$K$2)</f>
        <v xml:space="preserve">Penalties and Interest from Delinquent Non-Revenue Limit Taxes                  </v>
      </c>
    </row>
    <row r="175" spans="1:11" x14ac:dyDescent="0.2">
      <c r="A175" s="6" t="s">
        <v>354</v>
      </c>
      <c r="B175" s="6" t="s">
        <v>355</v>
      </c>
      <c r="J175" s="6" t="str">
        <f>LEFT('[1]Raw Objects'!A177,4)</f>
        <v>8631</v>
      </c>
      <c r="K175" s="6" t="str">
        <f>MID('[1]Raw Objects'!A177,5,$K$2)</f>
        <v xml:space="preserve">Sale of Equipment and Supplies                                                  </v>
      </c>
    </row>
    <row r="176" spans="1:11" x14ac:dyDescent="0.2">
      <c r="A176" s="6" t="s">
        <v>356</v>
      </c>
      <c r="B176" s="6" t="s">
        <v>357</v>
      </c>
      <c r="J176" s="6" t="str">
        <f>LEFT('[1]Raw Objects'!A178,4)</f>
        <v>8632</v>
      </c>
      <c r="K176" s="6" t="str">
        <f>MID('[1]Raw Objects'!A178,5,$K$2)</f>
        <v xml:space="preserve">Sale of Publications                                                            </v>
      </c>
    </row>
    <row r="177" spans="1:11" x14ac:dyDescent="0.2">
      <c r="A177" s="6" t="s">
        <v>358</v>
      </c>
      <c r="B177" s="6" t="s">
        <v>359</v>
      </c>
      <c r="J177" s="6" t="str">
        <f>LEFT('[1]Raw Objects'!A179,4)</f>
        <v>8634</v>
      </c>
      <c r="K177" s="6" t="str">
        <f>MID('[1]Raw Objects'!A179,5,$K$2)</f>
        <v xml:space="preserve">Food Service Sales                                                              </v>
      </c>
    </row>
    <row r="178" spans="1:11" x14ac:dyDescent="0.2">
      <c r="A178" s="6" t="s">
        <v>360</v>
      </c>
      <c r="B178" s="6" t="s">
        <v>361</v>
      </c>
      <c r="J178" s="6" t="str">
        <f>LEFT('[1]Raw Objects'!A180,4)</f>
        <v>8639</v>
      </c>
      <c r="K178" s="6" t="str">
        <f>MID('[1]Raw Objects'!A180,5,$K$2)</f>
        <v xml:space="preserve">All Other Sales                                                                 </v>
      </c>
    </row>
    <row r="179" spans="1:11" x14ac:dyDescent="0.2">
      <c r="A179" s="6" t="s">
        <v>362</v>
      </c>
      <c r="B179" s="6" t="s">
        <v>363</v>
      </c>
      <c r="J179" s="6" t="str">
        <f>LEFT('[1]Raw Objects'!A181,4)</f>
        <v>8650</v>
      </c>
      <c r="K179" s="6" t="str">
        <f>MID('[1]Raw Objects'!A181,5,$K$2)</f>
        <v xml:space="preserve">Leases and Rentals                                                              </v>
      </c>
    </row>
    <row r="180" spans="1:11" x14ac:dyDescent="0.2">
      <c r="A180" s="6" t="s">
        <v>364</v>
      </c>
      <c r="B180" s="6" t="s">
        <v>365</v>
      </c>
      <c r="J180" s="6" t="str">
        <f>LEFT('[1]Raw Objects'!A182,4)</f>
        <v>8660</v>
      </c>
      <c r="K180" s="6" t="str">
        <f>MID('[1]Raw Objects'!A182,5,$K$2)</f>
        <v xml:space="preserve">Interest                                                                        </v>
      </c>
    </row>
    <row r="181" spans="1:11" x14ac:dyDescent="0.2">
      <c r="A181" s="6" t="s">
        <v>366</v>
      </c>
      <c r="B181" s="6" t="s">
        <v>367</v>
      </c>
      <c r="J181" s="6" t="str">
        <f>LEFT('[1]Raw Objects'!A183,4)</f>
        <v>8662</v>
      </c>
      <c r="K181" s="6" t="str">
        <f>MID('[1]Raw Objects'!A183,5,$K$2)</f>
        <v xml:space="preserve">Net Increase (Decrease) in the Fair Value of Investments                        </v>
      </c>
    </row>
    <row r="182" spans="1:11" x14ac:dyDescent="0.2">
      <c r="A182" s="6" t="s">
        <v>368</v>
      </c>
      <c r="B182" s="6" t="s">
        <v>369</v>
      </c>
      <c r="J182" s="6" t="str">
        <f>LEFT('[1]Raw Objects'!A184,4)</f>
        <v>8671</v>
      </c>
      <c r="K182" s="6" t="str">
        <f>MID('[1]Raw Objects'!A184,5,$K$2)</f>
        <v xml:space="preserve">Adult Education Fees                                                            </v>
      </c>
    </row>
    <row r="183" spans="1:11" x14ac:dyDescent="0.2">
      <c r="A183" s="6" t="s">
        <v>370</v>
      </c>
      <c r="B183" s="6" t="s">
        <v>371</v>
      </c>
      <c r="J183" s="6" t="str">
        <f>LEFT('[1]Raw Objects'!A185,4)</f>
        <v>8672</v>
      </c>
      <c r="K183" s="6" t="str">
        <f>MID('[1]Raw Objects'!A185,5,$K$2)</f>
        <v xml:space="preserve">Nonresident Student Fees                                                        </v>
      </c>
    </row>
    <row r="184" spans="1:11" x14ac:dyDescent="0.2">
      <c r="A184" s="6" t="s">
        <v>372</v>
      </c>
      <c r="B184" s="6" t="s">
        <v>373</v>
      </c>
      <c r="J184" s="6" t="str">
        <f>LEFT('[1]Raw Objects'!A186,4)</f>
        <v>8673</v>
      </c>
      <c r="K184" s="6" t="str">
        <f>MID('[1]Raw Objects'!A186,5,$K$2)</f>
        <v xml:space="preserve">Child Development Parent Fees                                                   </v>
      </c>
    </row>
    <row r="185" spans="1:11" x14ac:dyDescent="0.2">
      <c r="A185" s="6" t="s">
        <v>374</v>
      </c>
      <c r="B185" s="6" t="s">
        <v>375</v>
      </c>
      <c r="J185" s="6" t="str">
        <f>LEFT('[1]Raw Objects'!A187,4)</f>
        <v>8674</v>
      </c>
      <c r="K185" s="6" t="str">
        <f>MID('[1]Raw Objects'!A187,5,$K$2)</f>
        <v xml:space="preserve">In-District Premiums/Contributions                                              </v>
      </c>
    </row>
    <row r="186" spans="1:11" x14ac:dyDescent="0.2">
      <c r="A186" s="6" t="s">
        <v>376</v>
      </c>
      <c r="B186" s="6" t="s">
        <v>377</v>
      </c>
      <c r="J186" s="6" t="str">
        <f>LEFT('[1]Raw Objects'!A188,4)</f>
        <v>8675</v>
      </c>
      <c r="K186" s="6" t="str">
        <f>MID('[1]Raw Objects'!A188,5,$K$2)</f>
        <v xml:space="preserve">Transportation Fees from Individuals                                            </v>
      </c>
    </row>
    <row r="187" spans="1:11" x14ac:dyDescent="0.2">
      <c r="A187" s="6" t="s">
        <v>378</v>
      </c>
      <c r="B187" s="6" t="s">
        <v>379</v>
      </c>
      <c r="J187" s="6" t="str">
        <f>LEFT('[1]Raw Objects'!A189,4)</f>
        <v>8677</v>
      </c>
      <c r="K187" s="6" t="str">
        <f>MID('[1]Raw Objects'!A189,5,$K$2)</f>
        <v xml:space="preserve">Interagency Services Between LEAs                                               </v>
      </c>
    </row>
    <row r="188" spans="1:11" x14ac:dyDescent="0.2">
      <c r="A188" s="6" t="s">
        <v>380</v>
      </c>
      <c r="B188" s="6" t="s">
        <v>381</v>
      </c>
      <c r="J188" s="6" t="str">
        <f>LEFT('[1]Raw Objects'!A190,4)</f>
        <v>8681</v>
      </c>
      <c r="K188" s="6" t="str">
        <f>MID('[1]Raw Objects'!A190,5,$K$2)</f>
        <v xml:space="preserve">Mitigation/Developer Fees                                                       </v>
      </c>
    </row>
    <row r="189" spans="1:11" x14ac:dyDescent="0.2">
      <c r="A189" s="6" t="s">
        <v>382</v>
      </c>
      <c r="B189" s="6" t="s">
        <v>383</v>
      </c>
      <c r="J189" s="6" t="str">
        <f>LEFT('[1]Raw Objects'!A191,4)</f>
        <v>8689</v>
      </c>
      <c r="K189" s="6" t="str">
        <f>MID('[1]Raw Objects'!A191,5,$K$2)</f>
        <v xml:space="preserve">All Other Fees and Contracts                                                    </v>
      </c>
    </row>
    <row r="190" spans="1:11" x14ac:dyDescent="0.2">
      <c r="A190" s="6" t="s">
        <v>384</v>
      </c>
      <c r="B190" s="6" t="s">
        <v>385</v>
      </c>
      <c r="J190" s="6" t="str">
        <f>LEFT('[1]Raw Objects'!A192,4)</f>
        <v>8691</v>
      </c>
      <c r="K190" s="6" t="str">
        <f>MID('[1]Raw Objects'!A192,5,$K$2)</f>
        <v xml:space="preserve">Plus: Miscellaneous Funds Non-Revenue Limit (50 Percent) Adjustment             </v>
      </c>
    </row>
    <row r="191" spans="1:11" x14ac:dyDescent="0.2">
      <c r="A191" s="6" t="s">
        <v>386</v>
      </c>
      <c r="B191" s="6" t="s">
        <v>387</v>
      </c>
      <c r="J191" s="6" t="str">
        <f>LEFT('[1]Raw Objects'!A193,4)</f>
        <v>8697</v>
      </c>
      <c r="K191" s="6" t="str">
        <f>MID('[1]Raw Objects'!A193,5,$K$2)</f>
        <v xml:space="preserve">Pass-Through Revenue from Local Sources                                         </v>
      </c>
    </row>
    <row r="192" spans="1:11" x14ac:dyDescent="0.2">
      <c r="A192" s="6" t="s">
        <v>388</v>
      </c>
      <c r="B192" s="6" t="s">
        <v>389</v>
      </c>
      <c r="J192" s="6" t="str">
        <f>LEFT('[1]Raw Objects'!A194,4)</f>
        <v>8699</v>
      </c>
      <c r="K192" s="6" t="str">
        <f>MID('[1]Raw Objects'!A194,5,$K$2)</f>
        <v xml:space="preserve">All Other Local Revenue                                                         </v>
      </c>
    </row>
    <row r="193" spans="1:11" x14ac:dyDescent="0.2">
      <c r="A193" s="6" t="s">
        <v>390</v>
      </c>
      <c r="B193" s="6" t="s">
        <v>391</v>
      </c>
      <c r="J193" s="6" t="str">
        <f>LEFT('[1]Raw Objects'!A195,4)</f>
        <v>8710</v>
      </c>
      <c r="K193" s="6" t="str">
        <f>MID('[1]Raw Objects'!A195,5,$K$2)</f>
        <v xml:space="preserve">Tuition                                                                         </v>
      </c>
    </row>
    <row r="194" spans="1:11" x14ac:dyDescent="0.2">
      <c r="A194" s="6" t="s">
        <v>392</v>
      </c>
      <c r="B194" s="6" t="s">
        <v>393</v>
      </c>
      <c r="J194" s="6" t="str">
        <f>LEFT('[1]Raw Objects'!A196,4)</f>
        <v>8780</v>
      </c>
      <c r="K194" s="6" t="str">
        <f>MID('[1]Raw Objects'!A196,5,$K$2)</f>
        <v>(Obsolete) Transfers from Sponsoring LEAs to Charter Schools in Lieu of Property</v>
      </c>
    </row>
    <row r="195" spans="1:11" x14ac:dyDescent="0.2">
      <c r="A195" s="6" t="s">
        <v>394</v>
      </c>
      <c r="B195" s="6" t="s">
        <v>395</v>
      </c>
      <c r="J195" s="6" t="str">
        <f>LEFT('[1]Raw Objects'!A197,4)</f>
        <v>8781</v>
      </c>
      <c r="K195" s="6" t="str">
        <f>MID('[1]Raw Objects'!A197,5,$K$2)</f>
        <v xml:space="preserve">All Other Transfers from Districts or Charter Schools                           </v>
      </c>
    </row>
    <row r="196" spans="1:11" x14ac:dyDescent="0.2">
      <c r="A196" s="6" t="s">
        <v>396</v>
      </c>
      <c r="B196" s="6" t="s">
        <v>397</v>
      </c>
      <c r="J196" s="6" t="str">
        <f>LEFT('[1]Raw Objects'!A198,4)</f>
        <v>8782</v>
      </c>
      <c r="K196" s="6" t="str">
        <f>MID('[1]Raw Objects'!A198,5,$K$2)</f>
        <v xml:space="preserve">All Other Transfers from County Offices                                         </v>
      </c>
    </row>
    <row r="197" spans="1:11" x14ac:dyDescent="0.2">
      <c r="A197" s="6" t="s">
        <v>398</v>
      </c>
      <c r="B197" s="6" t="s">
        <v>399</v>
      </c>
      <c r="J197" s="6" t="str">
        <f>LEFT('[1]Raw Objects'!A199,4)</f>
        <v>8783</v>
      </c>
      <c r="K197" s="6" t="str">
        <f>MID('[1]Raw Objects'!A199,5,$K$2)</f>
        <v xml:space="preserve">All Other Transfers from JPAs                                                   </v>
      </c>
    </row>
    <row r="198" spans="1:11" x14ac:dyDescent="0.2">
      <c r="A198" s="6" t="s">
        <v>400</v>
      </c>
      <c r="B198" s="6" t="s">
        <v>401</v>
      </c>
      <c r="J198" s="6" t="str">
        <f>LEFT('[1]Raw Objects'!A200,4)</f>
        <v>8791</v>
      </c>
      <c r="K198" s="6" t="str">
        <f>MID('[1]Raw Objects'!A200,5,$K$2)</f>
        <v xml:space="preserve">Transfers of Apportionments from Districts or Charter Schools                   </v>
      </c>
    </row>
    <row r="199" spans="1:11" x14ac:dyDescent="0.2">
      <c r="A199" s="6" t="s">
        <v>402</v>
      </c>
      <c r="B199" s="6" t="s">
        <v>403</v>
      </c>
      <c r="J199" s="6" t="str">
        <f>LEFT('[1]Raw Objects'!A201,4)</f>
        <v>8792</v>
      </c>
      <c r="K199" s="6" t="str">
        <f>MID('[1]Raw Objects'!A201,5,$K$2)</f>
        <v xml:space="preserve">Transfers of Apportionments from County Offices                                 </v>
      </c>
    </row>
    <row r="200" spans="1:11" x14ac:dyDescent="0.2">
      <c r="A200" s="6" t="s">
        <v>404</v>
      </c>
      <c r="B200" s="6" t="s">
        <v>405</v>
      </c>
      <c r="J200" s="6" t="str">
        <f>LEFT('[1]Raw Objects'!A202,4)</f>
        <v>8793</v>
      </c>
      <c r="K200" s="6" t="str">
        <f>MID('[1]Raw Objects'!A202,5,$K$2)</f>
        <v xml:space="preserve">Transfers of Apportionments from JPAs                                           </v>
      </c>
    </row>
    <row r="201" spans="1:11" x14ac:dyDescent="0.2">
      <c r="A201" s="6" t="s">
        <v>406</v>
      </c>
      <c r="B201" s="6" t="s">
        <v>407</v>
      </c>
      <c r="J201" s="6" t="str">
        <f>LEFT('[1]Raw Objects'!A203,4)</f>
        <v>8799</v>
      </c>
      <c r="K201" s="6" t="str">
        <f>MID('[1]Raw Objects'!A203,5,$K$2)</f>
        <v xml:space="preserve">Other Transfers In from All Others                                              </v>
      </c>
    </row>
    <row r="202" spans="1:11" x14ac:dyDescent="0.2">
      <c r="A202" s="6" t="s">
        <v>408</v>
      </c>
      <c r="B202" s="6" t="s">
        <v>409</v>
      </c>
      <c r="J202" s="6" t="str">
        <f>LEFT('[1]Raw Objects'!A204,4)</f>
        <v>8911</v>
      </c>
      <c r="K202" s="6" t="str">
        <f>MID('[1]Raw Objects'!A204,5,$K$2)</f>
        <v xml:space="preserve">To Child Development Fund from General Fund                                     </v>
      </c>
    </row>
    <row r="203" spans="1:11" x14ac:dyDescent="0.2">
      <c r="A203" s="6" t="s">
        <v>410</v>
      </c>
      <c r="B203" s="6" t="s">
        <v>191</v>
      </c>
      <c r="J203" s="6" t="str">
        <f>LEFT('[1]Raw Objects'!A205,4)</f>
        <v>8912</v>
      </c>
      <c r="K203" s="6" t="str">
        <f>MID('[1]Raw Objects'!A205,5,$K$2)</f>
        <v xml:space="preserve">Between General Fund and Special Reserve Fund                                   </v>
      </c>
    </row>
    <row r="204" spans="1:11" x14ac:dyDescent="0.2">
      <c r="A204" s="6" t="s">
        <v>411</v>
      </c>
      <c r="B204" s="6" t="s">
        <v>193</v>
      </c>
      <c r="J204" s="6" t="str">
        <f>LEFT('[1]Raw Objects'!A206,4)</f>
        <v>8913</v>
      </c>
      <c r="K204" s="6" t="str">
        <f>MID('[1]Raw Objects'!A206,5,$K$2)</f>
        <v>To State School Building Fund/County School Facilities Fund from All Other Funds</v>
      </c>
    </row>
    <row r="205" spans="1:11" x14ac:dyDescent="0.2">
      <c r="A205" s="6" t="s">
        <v>412</v>
      </c>
      <c r="B205" s="6" t="s">
        <v>413</v>
      </c>
      <c r="J205" s="6" t="str">
        <f>LEFT('[1]Raw Objects'!A207,4)</f>
        <v>8914</v>
      </c>
      <c r="K205" s="6" t="str">
        <f>MID('[1]Raw Objects'!A207,5,$K$2)</f>
        <v xml:space="preserve">To General Fund from Bond Interest and Redemption Fund                          </v>
      </c>
    </row>
    <row r="206" spans="1:11" x14ac:dyDescent="0.2">
      <c r="A206" s="6" t="s">
        <v>414</v>
      </c>
      <c r="B206" s="6" t="s">
        <v>415</v>
      </c>
      <c r="J206" s="6" t="str">
        <f>LEFT('[1]Raw Objects'!A208,4)</f>
        <v>8915</v>
      </c>
      <c r="K206" s="6" t="str">
        <f>MID('[1]Raw Objects'!A208,5,$K$2)</f>
        <v xml:space="preserve">To Deferred Maintenance Fund from General, Special Reserve and Building Funds   </v>
      </c>
    </row>
    <row r="207" spans="1:11" x14ac:dyDescent="0.2">
      <c r="A207" s="6" t="s">
        <v>416</v>
      </c>
      <c r="B207" s="6" t="s">
        <v>417</v>
      </c>
      <c r="J207" s="6" t="str">
        <f>LEFT('[1]Raw Objects'!A209,4)</f>
        <v>8916</v>
      </c>
      <c r="K207" s="6" t="str">
        <f>MID('[1]Raw Objects'!A209,5,$K$2)</f>
        <v xml:space="preserve">To Cafeteria Fund from General Fund                                             </v>
      </c>
    </row>
    <row r="208" spans="1:11" x14ac:dyDescent="0.2">
      <c r="A208" s="6" t="s">
        <v>418</v>
      </c>
      <c r="B208" s="6" t="s">
        <v>419</v>
      </c>
      <c r="J208" s="6" t="str">
        <f>LEFT('[1]Raw Objects'!A210,4)</f>
        <v>8919</v>
      </c>
      <c r="K208" s="6" t="str">
        <f>MID('[1]Raw Objects'!A210,5,$K$2)</f>
        <v xml:space="preserve">Other Authorized Interfund Transfers In                                         </v>
      </c>
    </row>
    <row r="209" spans="1:11" x14ac:dyDescent="0.2">
      <c r="A209" s="6" t="s">
        <v>420</v>
      </c>
      <c r="B209" s="6" t="s">
        <v>421</v>
      </c>
      <c r="J209" s="6" t="str">
        <f>LEFT('[1]Raw Objects'!A211,4)</f>
        <v>8931</v>
      </c>
      <c r="K209" s="6" t="str">
        <f>MID('[1]Raw Objects'!A211,5,$K$2)</f>
        <v xml:space="preserve">Emergency Apportionments                                                        </v>
      </c>
    </row>
    <row r="210" spans="1:11" x14ac:dyDescent="0.2">
      <c r="A210" s="6" t="s">
        <v>422</v>
      </c>
      <c r="B210" s="6" t="s">
        <v>423</v>
      </c>
      <c r="J210" s="6" t="str">
        <f>LEFT('[1]Raw Objects'!A212,4)</f>
        <v>8935</v>
      </c>
      <c r="K210" s="6" t="str">
        <f>MID('[1]Raw Objects'!A212,5,$K$2)</f>
        <v xml:space="preserve">(Obsolete) School Facilities Apportionments                                     </v>
      </c>
    </row>
    <row r="211" spans="1:11" x14ac:dyDescent="0.2">
      <c r="A211" s="6" t="s">
        <v>424</v>
      </c>
      <c r="B211" s="6" t="s">
        <v>425</v>
      </c>
      <c r="J211" s="6" t="str">
        <f>LEFT('[1]Raw Objects'!A213,4)</f>
        <v>8951</v>
      </c>
      <c r="K211" s="6" t="str">
        <f>MID('[1]Raw Objects'!A213,5,$K$2)</f>
        <v xml:space="preserve">Proceeds from Sale of Bonds                                                     </v>
      </c>
    </row>
    <row r="212" spans="1:11" x14ac:dyDescent="0.2">
      <c r="A212" s="6" t="s">
        <v>426</v>
      </c>
      <c r="B212" s="6" t="s">
        <v>427</v>
      </c>
      <c r="J212" s="6" t="str">
        <f>LEFT('[1]Raw Objects'!A214,4)</f>
        <v>8953</v>
      </c>
      <c r="K212" s="6" t="str">
        <f>MID('[1]Raw Objects'!A214,5,$K$2)</f>
        <v xml:space="preserve">Proceeds from Sale/Lease Purchase of Land and Buildings                         </v>
      </c>
    </row>
    <row r="213" spans="1:11" x14ac:dyDescent="0.2">
      <c r="A213" s="6" t="s">
        <v>428</v>
      </c>
      <c r="B213" s="6" t="s">
        <v>429</v>
      </c>
      <c r="J213" s="6" t="str">
        <f>LEFT('[1]Raw Objects'!A215,4)</f>
        <v>8961</v>
      </c>
      <c r="K213" s="6" t="str">
        <f>MID('[1]Raw Objects'!A215,5,$K$2)</f>
        <v xml:space="preserve">County School Building Aid                                                      </v>
      </c>
    </row>
    <row r="214" spans="1:11" x14ac:dyDescent="0.2">
      <c r="A214" s="6" t="s">
        <v>430</v>
      </c>
      <c r="B214" s="6" t="s">
        <v>431</v>
      </c>
      <c r="J214" s="6" t="str">
        <f>LEFT('[1]Raw Objects'!A216,4)</f>
        <v>8965</v>
      </c>
      <c r="K214" s="6" t="str">
        <f>MID('[1]Raw Objects'!A216,5,$K$2)</f>
        <v xml:space="preserve">Transfers from Funds of Lapsed/Reorganized LEAs                                 </v>
      </c>
    </row>
    <row r="215" spans="1:11" x14ac:dyDescent="0.2">
      <c r="A215" s="6" t="s">
        <v>432</v>
      </c>
      <c r="B215" s="6" t="s">
        <v>433</v>
      </c>
      <c r="J215" s="6" t="str">
        <f>LEFT('[1]Raw Objects'!A217,4)</f>
        <v>8971</v>
      </c>
      <c r="K215" s="6" t="str">
        <f>MID('[1]Raw Objects'!A217,5,$K$2)</f>
        <v xml:space="preserve">Proceeds from Certificates of Participation                                     </v>
      </c>
    </row>
    <row r="216" spans="1:11" x14ac:dyDescent="0.2">
      <c r="A216" s="6" t="s">
        <v>434</v>
      </c>
      <c r="B216" s="6" t="s">
        <v>435</v>
      </c>
      <c r="J216" s="6" t="str">
        <f>LEFT('[1]Raw Objects'!A218,4)</f>
        <v>8972</v>
      </c>
      <c r="K216" s="6" t="str">
        <f>MID('[1]Raw Objects'!A218,5,$K$2)</f>
        <v xml:space="preserve">Proceeds from Capital Leases                                                    </v>
      </c>
    </row>
    <row r="217" spans="1:11" x14ac:dyDescent="0.2">
      <c r="A217" s="6" t="s">
        <v>436</v>
      </c>
      <c r="B217" s="6" t="s">
        <v>437</v>
      </c>
      <c r="J217" s="6" t="str">
        <f>LEFT('[1]Raw Objects'!A219,4)</f>
        <v>8973</v>
      </c>
      <c r="K217" s="6" t="str">
        <f>MID('[1]Raw Objects'!A219,5,$K$2)</f>
        <v xml:space="preserve">Proceeds from Lease Revenue Bonds                                               </v>
      </c>
    </row>
    <row r="218" spans="1:11" x14ac:dyDescent="0.2">
      <c r="A218" s="6" t="s">
        <v>438</v>
      </c>
      <c r="B218" s="6" t="s">
        <v>439</v>
      </c>
      <c r="J218" s="6" t="str">
        <f>LEFT('[1]Raw Objects'!A220,4)</f>
        <v>8979</v>
      </c>
      <c r="K218" s="6" t="str">
        <f>MID('[1]Raw Objects'!A220,5,$K$2)</f>
        <v xml:space="preserve">All Other Financing Sources                                                     </v>
      </c>
    </row>
    <row r="219" spans="1:11" x14ac:dyDescent="0.2">
      <c r="A219" s="6" t="s">
        <v>440</v>
      </c>
      <c r="B219" s="6" t="s">
        <v>441</v>
      </c>
      <c r="J219" s="6" t="str">
        <f>LEFT('[1]Raw Objects'!A221,4)</f>
        <v>8980</v>
      </c>
      <c r="K219" s="6" t="str">
        <f>MID('[1]Raw Objects'!A221,5,$K$2)</f>
        <v xml:space="preserve">Contributions from Unrestricted Revenues                                        </v>
      </c>
    </row>
    <row r="220" spans="1:11" x14ac:dyDescent="0.2">
      <c r="A220" s="6" t="s">
        <v>442</v>
      </c>
      <c r="B220" s="6" t="s">
        <v>443</v>
      </c>
      <c r="J220" s="6" t="str">
        <f>LEFT('[1]Raw Objects'!A222,4)</f>
        <v>8990</v>
      </c>
      <c r="K220" s="6" t="str">
        <f>MID('[1]Raw Objects'!A222,5,$K$2)</f>
        <v xml:space="preserve">Contributions from Restricted Revenues                                          </v>
      </c>
    </row>
    <row r="221" spans="1:11" x14ac:dyDescent="0.2">
      <c r="A221" s="6" t="s">
        <v>444</v>
      </c>
      <c r="B221" s="6" t="s">
        <v>445</v>
      </c>
      <c r="J221" s="6" t="str">
        <f>LEFT('[1]Raw Objects'!A223,4)</f>
        <v>8995</v>
      </c>
      <c r="K221" s="6" t="str">
        <f>MID('[1]Raw Objects'!A223,5,$K$2)</f>
        <v xml:space="preserve">Categorical Education Block Grant Transfers                                     </v>
      </c>
    </row>
    <row r="222" spans="1:11" x14ac:dyDescent="0.2">
      <c r="A222" s="6" t="s">
        <v>446</v>
      </c>
      <c r="B222" s="6" t="s">
        <v>447</v>
      </c>
      <c r="J222" s="6" t="str">
        <f>LEFT('[1]Raw Objects'!A224,4)</f>
        <v>8997</v>
      </c>
      <c r="K222" s="6" t="str">
        <f>MID('[1]Raw Objects'!A224,5,$K$2)</f>
        <v xml:space="preserve">Transfers of Restricted Balances                                                </v>
      </c>
    </row>
    <row r="223" spans="1:11" x14ac:dyDescent="0.2">
      <c r="A223" s="6" t="s">
        <v>448</v>
      </c>
      <c r="B223" s="6" t="s">
        <v>449</v>
      </c>
      <c r="J223" s="6" t="str">
        <f>LEFT('[1]Raw Objects'!A225,4)</f>
        <v>8998</v>
      </c>
      <c r="K223" s="6" t="str">
        <f>MID('[1]Raw Objects'!A225,5,$K$2)</f>
        <v xml:space="preserve">Categorical Flexibility Transfers                                               </v>
      </c>
    </row>
    <row r="224" spans="1:11" x14ac:dyDescent="0.2">
      <c r="A224" s="6" t="s">
        <v>450</v>
      </c>
      <c r="B224" s="6" t="s">
        <v>451</v>
      </c>
      <c r="J224" s="6" t="str">
        <f>LEFT('[1]Raw Objects'!A226,4)</f>
        <v>9110</v>
      </c>
      <c r="K224" s="6" t="str">
        <f>MID('[1]Raw Objects'!A226,5,$K$2)</f>
        <v xml:space="preserve">Cash in County Treasury                                                         </v>
      </c>
    </row>
    <row r="225" spans="1:11" x14ac:dyDescent="0.2">
      <c r="A225" s="6" t="s">
        <v>452</v>
      </c>
      <c r="B225" s="6" t="s">
        <v>453</v>
      </c>
      <c r="J225" s="6" t="str">
        <f>LEFT('[1]Raw Objects'!A227,4)</f>
        <v>9111</v>
      </c>
      <c r="K225" s="6" t="str">
        <f>MID('[1]Raw Objects'!A227,5,$K$2)</f>
        <v xml:space="preserve">Fair Value Adjustment to Cash in County Treasury                                </v>
      </c>
    </row>
    <row r="226" spans="1:11" x14ac:dyDescent="0.2">
      <c r="A226" s="6" t="s">
        <v>454</v>
      </c>
      <c r="B226" s="6" t="s">
        <v>455</v>
      </c>
      <c r="J226" s="6" t="str">
        <f>LEFT('[1]Raw Objects'!A228,4)</f>
        <v>9120</v>
      </c>
      <c r="K226" s="6" t="str">
        <f>MID('[1]Raw Objects'!A228,5,$K$2)</f>
        <v xml:space="preserve">Cash in Bank(s)                                                                 </v>
      </c>
    </row>
    <row r="227" spans="1:11" x14ac:dyDescent="0.2">
      <c r="A227" s="6" t="s">
        <v>456</v>
      </c>
      <c r="B227" s="6" t="s">
        <v>457</v>
      </c>
      <c r="J227" s="6" t="str">
        <f>LEFT('[1]Raw Objects'!A229,4)</f>
        <v>9130</v>
      </c>
      <c r="K227" s="6" t="str">
        <f>MID('[1]Raw Objects'!A229,5,$K$2)</f>
        <v xml:space="preserve">Revolving Cash Account                                                          </v>
      </c>
    </row>
    <row r="228" spans="1:11" x14ac:dyDescent="0.2">
      <c r="A228" s="6" t="s">
        <v>458</v>
      </c>
      <c r="B228" s="6" t="s">
        <v>459</v>
      </c>
      <c r="J228" s="6" t="str">
        <f>LEFT('[1]Raw Objects'!A230,4)</f>
        <v>9135</v>
      </c>
      <c r="K228" s="6" t="str">
        <f>MID('[1]Raw Objects'!A230,5,$K$2)</f>
        <v xml:space="preserve">Cash with a Fiscal Agent/Trustee                                                </v>
      </c>
    </row>
    <row r="229" spans="1:11" x14ac:dyDescent="0.2">
      <c r="A229" s="6" t="s">
        <v>460</v>
      </c>
      <c r="B229" s="6" t="s">
        <v>461</v>
      </c>
      <c r="J229" s="6" t="str">
        <f>LEFT('[1]Raw Objects'!A231,4)</f>
        <v>9140</v>
      </c>
      <c r="K229" s="6" t="str">
        <f>MID('[1]Raw Objects'!A231,5,$K$2)</f>
        <v xml:space="preserve">Cash Collections Awaiting Deposit                                               </v>
      </c>
    </row>
    <row r="230" spans="1:11" x14ac:dyDescent="0.2">
      <c r="A230" s="6" t="s">
        <v>462</v>
      </c>
      <c r="B230" s="6" t="s">
        <v>463</v>
      </c>
      <c r="J230" s="6" t="str">
        <f>LEFT('[1]Raw Objects'!A232,4)</f>
        <v>9150</v>
      </c>
      <c r="K230" s="6" t="str">
        <f>MID('[1]Raw Objects'!A232,5,$K$2)</f>
        <v xml:space="preserve">Investments                                                                     </v>
      </c>
    </row>
    <row r="231" spans="1:11" x14ac:dyDescent="0.2">
      <c r="A231" s="6" t="s">
        <v>464</v>
      </c>
      <c r="B231" s="6" t="s">
        <v>465</v>
      </c>
      <c r="J231" s="6" t="str">
        <f>LEFT('[1]Raw Objects'!A233,4)</f>
        <v>9200</v>
      </c>
      <c r="K231" s="6" t="str">
        <f>MID('[1]Raw Objects'!A233,5,$K$2)</f>
        <v xml:space="preserve">Accounts Receivable                                                             </v>
      </c>
    </row>
    <row r="232" spans="1:11" x14ac:dyDescent="0.2">
      <c r="A232" s="6" t="s">
        <v>466</v>
      </c>
      <c r="B232" s="6" t="s">
        <v>467</v>
      </c>
      <c r="J232" s="6" t="str">
        <f>LEFT('[1]Raw Objects'!A234,4)</f>
        <v>9290</v>
      </c>
      <c r="K232" s="6" t="str">
        <f>MID('[1]Raw Objects'!A234,5,$K$2)</f>
        <v xml:space="preserve">Due from Grantor Governments                                                    </v>
      </c>
    </row>
    <row r="233" spans="1:11" x14ac:dyDescent="0.2">
      <c r="A233" s="6" t="s">
        <v>468</v>
      </c>
      <c r="B233" s="6" t="s">
        <v>469</v>
      </c>
      <c r="J233" s="6" t="str">
        <f>LEFT('[1]Raw Objects'!A235,4)</f>
        <v>9310</v>
      </c>
      <c r="K233" s="6" t="str">
        <f>MID('[1]Raw Objects'!A235,5,$K$2)</f>
        <v xml:space="preserve">Due from Other Funds                                                            </v>
      </c>
    </row>
    <row r="234" spans="1:11" x14ac:dyDescent="0.2">
      <c r="A234" s="6" t="s">
        <v>470</v>
      </c>
      <c r="B234" s="6" t="s">
        <v>471</v>
      </c>
      <c r="J234" s="6" t="str">
        <f>LEFT('[1]Raw Objects'!A236,4)</f>
        <v>9320</v>
      </c>
      <c r="K234" s="6" t="str">
        <f>MID('[1]Raw Objects'!A236,5,$K$2)</f>
        <v xml:space="preserve">Stores                                                                          </v>
      </c>
    </row>
    <row r="235" spans="1:11" x14ac:dyDescent="0.2">
      <c r="A235" s="6" t="s">
        <v>472</v>
      </c>
      <c r="B235" s="6" t="s">
        <v>473</v>
      </c>
      <c r="J235" s="6" t="str">
        <f>LEFT('[1]Raw Objects'!A237,4)</f>
        <v>9330</v>
      </c>
      <c r="K235" s="6" t="str">
        <f>MID('[1]Raw Objects'!A237,5,$K$2)</f>
        <v xml:space="preserve">Prepaid Expenditures (Expenses)                                                 </v>
      </c>
    </row>
    <row r="236" spans="1:11" x14ac:dyDescent="0.2">
      <c r="A236" s="6" t="s">
        <v>474</v>
      </c>
      <c r="B236" s="6" t="s">
        <v>475</v>
      </c>
      <c r="J236" s="6" t="str">
        <f>LEFT('[1]Raw Objects'!A238,4)</f>
        <v>9340</v>
      </c>
      <c r="K236" s="6" t="str">
        <f>MID('[1]Raw Objects'!A238,5,$K$2)</f>
        <v xml:space="preserve">Other Current Assets                                                            </v>
      </c>
    </row>
    <row r="237" spans="1:11" x14ac:dyDescent="0.2">
      <c r="A237" s="6" t="s">
        <v>476</v>
      </c>
      <c r="B237" s="6" t="s">
        <v>121</v>
      </c>
      <c r="J237" s="6" t="str">
        <f>LEFT('[1]Raw Objects'!A239,4)</f>
        <v>9410</v>
      </c>
      <c r="K237" s="6" t="str">
        <f>MID('[1]Raw Objects'!A239,5,$K$2)</f>
        <v xml:space="preserve">Land                                                                            </v>
      </c>
    </row>
    <row r="238" spans="1:11" x14ac:dyDescent="0.2">
      <c r="A238" s="6" t="s">
        <v>477</v>
      </c>
      <c r="B238" s="6" t="s">
        <v>123</v>
      </c>
      <c r="J238" s="6" t="str">
        <f>LEFT('[1]Raw Objects'!A240,4)</f>
        <v>9420</v>
      </c>
      <c r="K238" s="6" t="str">
        <f>MID('[1]Raw Objects'!A240,5,$K$2)</f>
        <v xml:space="preserve">Land Improvements                                                               </v>
      </c>
    </row>
    <row r="239" spans="1:11" x14ac:dyDescent="0.2">
      <c r="A239" s="6" t="s">
        <v>478</v>
      </c>
      <c r="B239" s="6" t="s">
        <v>479</v>
      </c>
      <c r="J239" s="6" t="str">
        <f>LEFT('[1]Raw Objects'!A241,4)</f>
        <v>9425</v>
      </c>
      <c r="K239" s="6" t="str">
        <f>MID('[1]Raw Objects'!A241,5,$K$2)</f>
        <v xml:space="preserve">Accumulated Depreciation - Land Improvements                                    </v>
      </c>
    </row>
    <row r="240" spans="1:11" x14ac:dyDescent="0.2">
      <c r="A240" s="6" t="s">
        <v>480</v>
      </c>
      <c r="B240" s="6" t="s">
        <v>481</v>
      </c>
      <c r="J240" s="6" t="str">
        <f>LEFT('[1]Raw Objects'!A242,4)</f>
        <v>9430</v>
      </c>
      <c r="K240" s="6" t="str">
        <f>MID('[1]Raw Objects'!A242,5,$K$2)</f>
        <v xml:space="preserve">Buildings                                                                       </v>
      </c>
    </row>
    <row r="241" spans="1:11" x14ac:dyDescent="0.2">
      <c r="A241" s="6" t="s">
        <v>482</v>
      </c>
      <c r="B241" s="6" t="s">
        <v>483</v>
      </c>
      <c r="J241" s="6" t="str">
        <f>LEFT('[1]Raw Objects'!A243,4)</f>
        <v>9435</v>
      </c>
      <c r="K241" s="6" t="str">
        <f>MID('[1]Raw Objects'!A243,5,$K$2)</f>
        <v xml:space="preserve">Accumulated Depreciation - Buildings                                            </v>
      </c>
    </row>
    <row r="242" spans="1:11" x14ac:dyDescent="0.2">
      <c r="A242" s="6" t="s">
        <v>484</v>
      </c>
      <c r="B242" s="6" t="s">
        <v>129</v>
      </c>
      <c r="J242" s="6" t="str">
        <f>LEFT('[1]Raw Objects'!A244,4)</f>
        <v>9440</v>
      </c>
      <c r="K242" s="6" t="str">
        <f>MID('[1]Raw Objects'!A244,5,$K$2)</f>
        <v xml:space="preserve">Equipment                                                                       </v>
      </c>
    </row>
    <row r="243" spans="1:11" x14ac:dyDescent="0.2">
      <c r="A243" s="6" t="s">
        <v>485</v>
      </c>
      <c r="B243" s="6" t="s">
        <v>486</v>
      </c>
      <c r="J243" s="6" t="str">
        <f>LEFT('[1]Raw Objects'!A245,4)</f>
        <v>9445</v>
      </c>
      <c r="K243" s="6" t="str">
        <f>MID('[1]Raw Objects'!A245,5,$K$2)</f>
        <v xml:space="preserve">Accumulated Depreciation - Equipment                                            </v>
      </c>
    </row>
    <row r="244" spans="1:11" x14ac:dyDescent="0.2">
      <c r="A244" s="6" t="s">
        <v>487</v>
      </c>
      <c r="B244" s="6" t="s">
        <v>488</v>
      </c>
      <c r="J244" s="6" t="str">
        <f>LEFT('[1]Raw Objects'!A246,4)</f>
        <v>9450</v>
      </c>
      <c r="K244" s="6" t="str">
        <f>MID('[1]Raw Objects'!A246,5,$K$2)</f>
        <v xml:space="preserve">Work in Progress                                                                </v>
      </c>
    </row>
    <row r="245" spans="1:11" x14ac:dyDescent="0.2">
      <c r="A245" s="6" t="s">
        <v>489</v>
      </c>
      <c r="B245" s="6" t="s">
        <v>490</v>
      </c>
      <c r="J245" s="6" t="str">
        <f>LEFT('[1]Raw Objects'!A247,4)</f>
        <v>9500</v>
      </c>
      <c r="K245" s="6" t="str">
        <f>MID('[1]Raw Objects'!A247,5,$K$2)</f>
        <v xml:space="preserve">Accounts Payable (Current Liabilities)                                          </v>
      </c>
    </row>
    <row r="246" spans="1:11" x14ac:dyDescent="0.2">
      <c r="A246" s="6" t="s">
        <v>491</v>
      </c>
      <c r="B246" s="6" t="s">
        <v>492</v>
      </c>
      <c r="J246" s="6" t="str">
        <f>LEFT('[1]Raw Objects'!A248,4)</f>
        <v>9590</v>
      </c>
      <c r="K246" s="6" t="str">
        <f>MID('[1]Raw Objects'!A248,5,$K$2)</f>
        <v xml:space="preserve">Due to Grantor Governments                                                      </v>
      </c>
    </row>
    <row r="247" spans="1:11" x14ac:dyDescent="0.2">
      <c r="A247" s="6" t="s">
        <v>493</v>
      </c>
      <c r="B247" s="6" t="s">
        <v>494</v>
      </c>
      <c r="J247" s="6" t="str">
        <f>LEFT('[1]Raw Objects'!A249,4)</f>
        <v>9610</v>
      </c>
      <c r="K247" s="6" t="str">
        <f>MID('[1]Raw Objects'!A249,5,$K$2)</f>
        <v xml:space="preserve">Due to Other Funds                                                              </v>
      </c>
    </row>
    <row r="248" spans="1:11" x14ac:dyDescent="0.2">
      <c r="A248" s="6" t="s">
        <v>495</v>
      </c>
      <c r="B248" s="6" t="s">
        <v>496</v>
      </c>
      <c r="J248" s="6" t="str">
        <f>LEFT('[1]Raw Objects'!A250,4)</f>
        <v>9620</v>
      </c>
      <c r="K248" s="6" t="str">
        <f>MID('[1]Raw Objects'!A250,5,$K$2)</f>
        <v xml:space="preserve">Due to Student Groups/Other Agencies                                            </v>
      </c>
    </row>
    <row r="249" spans="1:11" x14ac:dyDescent="0.2">
      <c r="A249" s="6" t="s">
        <v>497</v>
      </c>
      <c r="B249" s="6" t="s">
        <v>498</v>
      </c>
      <c r="J249" s="6" t="str">
        <f>LEFT('[1]Raw Objects'!A251,4)</f>
        <v>9640</v>
      </c>
      <c r="K249" s="6" t="str">
        <f>MID('[1]Raw Objects'!A251,5,$K$2)</f>
        <v xml:space="preserve">Current Loans                                                                   </v>
      </c>
    </row>
    <row r="250" spans="1:11" x14ac:dyDescent="0.2">
      <c r="A250" s="6" t="s">
        <v>499</v>
      </c>
      <c r="B250" s="6" t="s">
        <v>500</v>
      </c>
      <c r="J250" s="6" t="str">
        <f>LEFT('[1]Raw Objects'!A252,4)</f>
        <v>9650</v>
      </c>
      <c r="K250" s="6" t="str">
        <f>MID('[1]Raw Objects'!A252,5,$K$2)</f>
        <v xml:space="preserve">Deferred Revenue                                                                </v>
      </c>
    </row>
    <row r="251" spans="1:11" x14ac:dyDescent="0.2">
      <c r="A251" s="6" t="s">
        <v>501</v>
      </c>
      <c r="B251" s="6" t="s">
        <v>502</v>
      </c>
      <c r="J251" s="6" t="str">
        <f>LEFT('[1]Raw Objects'!A253,4)</f>
        <v>9661</v>
      </c>
      <c r="K251" s="6" t="str">
        <f>MID('[1]Raw Objects'!A253,5,$K$2)</f>
        <v xml:space="preserve">General Obligation Bond Payable                                                 </v>
      </c>
    </row>
    <row r="252" spans="1:11" x14ac:dyDescent="0.2">
      <c r="A252" s="6" t="s">
        <v>503</v>
      </c>
      <c r="B252" s="6" t="s">
        <v>504</v>
      </c>
      <c r="J252" s="6" t="str">
        <f>LEFT('[1]Raw Objects'!A254,4)</f>
        <v>9662</v>
      </c>
      <c r="K252" s="6" t="str">
        <f>MID('[1]Raw Objects'!A254,5,$K$2)</f>
        <v xml:space="preserve">State School Building Loans Payable                                             </v>
      </c>
    </row>
    <row r="253" spans="1:11" x14ac:dyDescent="0.2">
      <c r="A253" s="6" t="s">
        <v>505</v>
      </c>
      <c r="B253" s="6" t="s">
        <v>506</v>
      </c>
      <c r="J253" s="6" t="str">
        <f>LEFT('[1]Raw Objects'!A255,4)</f>
        <v>9664</v>
      </c>
      <c r="K253" s="6" t="str">
        <f>MID('[1]Raw Objects'!A255,5,$K$2)</f>
        <v xml:space="preserve">Net OPEB Obligation                                                             </v>
      </c>
    </row>
    <row r="254" spans="1:11" x14ac:dyDescent="0.2">
      <c r="A254" s="6" t="s">
        <v>507</v>
      </c>
      <c r="B254" s="6" t="s">
        <v>508</v>
      </c>
      <c r="J254" s="6" t="str">
        <f>LEFT('[1]Raw Objects'!A256,4)</f>
        <v>9665</v>
      </c>
      <c r="K254" s="6" t="str">
        <f>MID('[1]Raw Objects'!A256,5,$K$2)</f>
        <v xml:space="preserve">Compensated Absences Payable                                                    </v>
      </c>
    </row>
    <row r="255" spans="1:11" x14ac:dyDescent="0.2">
      <c r="A255" s="6" t="s">
        <v>509</v>
      </c>
      <c r="B255" s="6" t="s">
        <v>510</v>
      </c>
      <c r="J255" s="6" t="str">
        <f>LEFT('[1]Raw Objects'!A257,4)</f>
        <v>9666</v>
      </c>
      <c r="K255" s="6" t="str">
        <f>MID('[1]Raw Objects'!A257,5,$K$2)</f>
        <v xml:space="preserve">Certificates of Participation (COPs) Payable                                    </v>
      </c>
    </row>
    <row r="256" spans="1:11" x14ac:dyDescent="0.2">
      <c r="A256" s="6" t="s">
        <v>511</v>
      </c>
      <c r="B256" s="6" t="s">
        <v>512</v>
      </c>
      <c r="J256" s="6" t="str">
        <f>LEFT('[1]Raw Objects'!A258,4)</f>
        <v>9667</v>
      </c>
      <c r="K256" s="6" t="str">
        <f>MID('[1]Raw Objects'!A258,5,$K$2)</f>
        <v xml:space="preserve">Capital Leases Payable                                                          </v>
      </c>
    </row>
    <row r="257" spans="1:11" x14ac:dyDescent="0.2">
      <c r="A257" s="6" t="s">
        <v>513</v>
      </c>
      <c r="B257" s="6" t="s">
        <v>514</v>
      </c>
      <c r="J257" s="6" t="str">
        <f>LEFT('[1]Raw Objects'!A259,4)</f>
        <v>9668</v>
      </c>
      <c r="K257" s="6" t="str">
        <f>MID('[1]Raw Objects'!A259,5,$K$2)</f>
        <v xml:space="preserve">Lease Revenue Bonds Payable                                                     </v>
      </c>
    </row>
    <row r="258" spans="1:11" x14ac:dyDescent="0.2">
      <c r="A258" s="6" t="s">
        <v>515</v>
      </c>
      <c r="B258" s="6" t="s">
        <v>516</v>
      </c>
      <c r="J258" s="6" t="str">
        <f>LEFT('[1]Raw Objects'!A260,4)</f>
        <v>9669</v>
      </c>
      <c r="K258" s="6" t="str">
        <f>MID('[1]Raw Objects'!A260,5,$K$2)</f>
        <v xml:space="preserve">Other General Long-Term Debt                                                    </v>
      </c>
    </row>
    <row r="259" spans="1:11" x14ac:dyDescent="0.2">
      <c r="A259" s="6" t="s">
        <v>517</v>
      </c>
      <c r="B259" s="6" t="s">
        <v>518</v>
      </c>
      <c r="J259" s="6" t="str">
        <f>LEFT('[1]Raw Objects'!A261,4)</f>
        <v>9711</v>
      </c>
      <c r="K259" s="6" t="str">
        <f>MID('[1]Raw Objects'!A261,5,$K$2)</f>
        <v xml:space="preserve">Reserve for Revolving Cash                                                      </v>
      </c>
    </row>
    <row r="260" spans="1:11" x14ac:dyDescent="0.2">
      <c r="A260" s="6" t="s">
        <v>519</v>
      </c>
      <c r="B260" s="6" t="s">
        <v>520</v>
      </c>
      <c r="J260" s="6" t="str">
        <f>LEFT('[1]Raw Objects'!A262,4)</f>
        <v>9712</v>
      </c>
      <c r="K260" s="6" t="str">
        <f>MID('[1]Raw Objects'!A262,5,$K$2)</f>
        <v xml:space="preserve">Reserve for Stores                                                              </v>
      </c>
    </row>
    <row r="261" spans="1:11" x14ac:dyDescent="0.2">
      <c r="A261" s="6" t="s">
        <v>521</v>
      </c>
      <c r="B261" s="6" t="s">
        <v>522</v>
      </c>
      <c r="J261" s="6" t="str">
        <f>LEFT('[1]Raw Objects'!A263,4)</f>
        <v>9713</v>
      </c>
      <c r="K261" s="6" t="str">
        <f>MID('[1]Raw Objects'!A263,5,$K$2)</f>
        <v xml:space="preserve">Reserve for Prepaid Expenditures (Expenses)                                     </v>
      </c>
    </row>
    <row r="262" spans="1:11" x14ac:dyDescent="0.2">
      <c r="A262" s="6" t="s">
        <v>523</v>
      </c>
      <c r="B262" s="6" t="s">
        <v>524</v>
      </c>
      <c r="J262" s="6" t="str">
        <f>LEFT('[1]Raw Objects'!A264,4)</f>
        <v>9719</v>
      </c>
      <c r="K262" s="6" t="str">
        <f>MID('[1]Raw Objects'!A264,5,$K$2)</f>
        <v xml:space="preserve">Reserve for All Others                                                          </v>
      </c>
    </row>
    <row r="263" spans="1:11" x14ac:dyDescent="0.2">
      <c r="A263" s="6" t="s">
        <v>525</v>
      </c>
      <c r="B263" s="6" t="s">
        <v>526</v>
      </c>
      <c r="J263" s="6" t="str">
        <f>LEFT('[1]Raw Objects'!A265,4)</f>
        <v>9730</v>
      </c>
      <c r="K263" s="6" t="str">
        <f>MID('[1]Raw Objects'!A265,5,$K$2)</f>
        <v xml:space="preserve">General Reserve                                                                 </v>
      </c>
    </row>
    <row r="264" spans="1:11" x14ac:dyDescent="0.2">
      <c r="A264" s="6" t="s">
        <v>527</v>
      </c>
      <c r="B264" s="6" t="s">
        <v>528</v>
      </c>
      <c r="J264" s="6" t="str">
        <f>LEFT('[1]Raw Objects'!A266,4)</f>
        <v>9740</v>
      </c>
      <c r="K264" s="6" t="str">
        <f>MID('[1]Raw Objects'!A266,5,$K$2)</f>
        <v xml:space="preserve">Legally Restricted Balance                                                      </v>
      </c>
    </row>
    <row r="265" spans="1:11" x14ac:dyDescent="0.2">
      <c r="A265" s="6" t="s">
        <v>529</v>
      </c>
      <c r="B265" s="6" t="s">
        <v>530</v>
      </c>
      <c r="J265" s="6" t="str">
        <f>LEFT('[1]Raw Objects'!A267,4)</f>
        <v>9770</v>
      </c>
      <c r="K265" s="6" t="str">
        <f>MID('[1]Raw Objects'!A267,5,$K$2)</f>
        <v xml:space="preserve">Designated for Economic Uncertainties                                           </v>
      </c>
    </row>
    <row r="266" spans="1:11" x14ac:dyDescent="0.2">
      <c r="A266" s="6" t="s">
        <v>531</v>
      </c>
      <c r="B266" s="6" t="s">
        <v>532</v>
      </c>
      <c r="J266" s="6" t="str">
        <f>LEFT('[1]Raw Objects'!A268,4)</f>
        <v>9775</v>
      </c>
      <c r="K266" s="6" t="str">
        <f>MID('[1]Raw Objects'!A268,5,$K$2)</f>
        <v xml:space="preserve">Designated for the Unrealized Gains of Investments and Cash in County Treasury  </v>
      </c>
    </row>
    <row r="267" spans="1:11" x14ac:dyDescent="0.2">
      <c r="A267" s="6" t="s">
        <v>533</v>
      </c>
      <c r="B267" s="6" t="s">
        <v>534</v>
      </c>
      <c r="J267" s="6" t="str">
        <f>LEFT('[1]Raw Objects'!A269,4)</f>
        <v>9780</v>
      </c>
      <c r="K267" s="6" t="str">
        <f>MID('[1]Raw Objects'!A269,5,$K$2)</f>
        <v xml:space="preserve">Other Designations                                                              </v>
      </c>
    </row>
    <row r="268" spans="1:11" x14ac:dyDescent="0.2">
      <c r="A268" s="6" t="s">
        <v>535</v>
      </c>
      <c r="B268" s="6" t="s">
        <v>536</v>
      </c>
      <c r="J268" s="6" t="str">
        <f>LEFT('[1]Raw Objects'!A270,4)</f>
        <v>9790</v>
      </c>
      <c r="K268" s="6" t="str">
        <f>MID('[1]Raw Objects'!A270,5,$K$2)</f>
        <v xml:space="preserve">Undesignated/Unappropriated                                                     </v>
      </c>
    </row>
    <row r="269" spans="1:11" x14ac:dyDescent="0.2">
      <c r="A269" s="6" t="s">
        <v>537</v>
      </c>
      <c r="B269" s="6" t="s">
        <v>538</v>
      </c>
      <c r="J269" s="6" t="str">
        <f>LEFT('[1]Raw Objects'!A271,4)</f>
        <v>9791</v>
      </c>
      <c r="K269" s="6" t="str">
        <f>MID('[1]Raw Objects'!A271,5,$K$2)</f>
        <v xml:space="preserve">Beginning Fund Balance                                                          </v>
      </c>
    </row>
    <row r="270" spans="1:11" x14ac:dyDescent="0.2">
      <c r="A270" s="6" t="s">
        <v>539</v>
      </c>
      <c r="B270" s="6" t="s">
        <v>540</v>
      </c>
      <c r="J270" s="6" t="str">
        <f>LEFT('[1]Raw Objects'!A272,4)</f>
        <v>9793</v>
      </c>
      <c r="K270" s="6" t="str">
        <f>MID('[1]Raw Objects'!A272,5,$K$2)</f>
        <v xml:space="preserve">Audit Adjustments                                                               </v>
      </c>
    </row>
    <row r="271" spans="1:11" x14ac:dyDescent="0.2">
      <c r="A271" s="6" t="s">
        <v>541</v>
      </c>
      <c r="B271" s="6" t="s">
        <v>542</v>
      </c>
      <c r="J271" s="6" t="str">
        <f>LEFT('[1]Raw Objects'!A273,4)</f>
        <v>9795</v>
      </c>
      <c r="K271" s="6" t="str">
        <f>MID('[1]Raw Objects'!A273,5,$K$2)</f>
        <v xml:space="preserve">Other Restatements                                                              </v>
      </c>
    </row>
    <row r="272" spans="1:11" x14ac:dyDescent="0.2">
      <c r="A272" s="6" t="s">
        <v>543</v>
      </c>
      <c r="B272" s="6" t="s">
        <v>544</v>
      </c>
      <c r="J272" s="6" t="str">
        <f>LEFT('[1]Raw Objects'!A274,4)</f>
        <v>9980</v>
      </c>
      <c r="K272" s="6" t="str">
        <f>MID('[1]Raw Objects'!A274,5,$K$2)</f>
        <v xml:space="preserve">Amount Available                                                                </v>
      </c>
    </row>
    <row r="273" spans="1:11" x14ac:dyDescent="0.2">
      <c r="A273" s="6" t="s">
        <v>545</v>
      </c>
      <c r="B273" s="6" t="s">
        <v>546</v>
      </c>
      <c r="J273" s="6" t="str">
        <f>LEFT('[1]Raw Objects'!A275,4)</f>
        <v>9989</v>
      </c>
      <c r="K273" s="6" t="str">
        <f>MID('[1]Raw Objects'!A275,5,$K$2)</f>
        <v xml:space="preserve">Amount to be Provided                                                           </v>
      </c>
    </row>
    <row r="274" spans="1:11" x14ac:dyDescent="0.2">
      <c r="A274" s="6" t="s">
        <v>547</v>
      </c>
      <c r="B274" s="6" t="s">
        <v>548</v>
      </c>
      <c r="J274" s="6" t="str">
        <f>LEFT('[1]Raw Objects'!A276,4)</f>
        <v>9990</v>
      </c>
      <c r="K274" s="6" t="str">
        <f>MID('[1]Raw Objects'!A276,5,$K$2)</f>
        <v xml:space="preserve">Investment in General Fixed Assets                                              </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6" x14ac:dyDescent="0.2"/>
  <cols>
    <col min="1" max="16384" width="8.83203125" style="6"/>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pageSetUpPr fitToPage="1"/>
  </sheetPr>
  <dimension ref="A1:W120"/>
  <sheetViews>
    <sheetView workbookViewId="0">
      <pane xSplit="3" ySplit="6" topLeftCell="D28" activePane="bottomRight" state="frozen"/>
      <selection activeCell="L11" sqref="L11"/>
      <selection pane="topRight" activeCell="L11" sqref="L11"/>
      <selection pane="bottomLeft" activeCell="L11" sqref="L11"/>
      <selection pane="bottomRight" activeCell="E42" sqref="E42"/>
    </sheetView>
  </sheetViews>
  <sheetFormatPr baseColWidth="10" defaultColWidth="8.83203125" defaultRowHeight="16" outlineLevelCol="2" x14ac:dyDescent="0.2"/>
  <cols>
    <col min="1" max="1" width="5.6640625" style="35" customWidth="1"/>
    <col min="2" max="2" width="6.83203125" style="1" customWidth="1"/>
    <col min="3" max="3" width="42.5" style="1" customWidth="1"/>
    <col min="4" max="4" width="16" style="31" bestFit="1" customWidth="1"/>
    <col min="5" max="8" width="16" style="31" bestFit="1" customWidth="1" outlineLevel="1"/>
    <col min="9" max="9" width="3.33203125" style="71" customWidth="1"/>
    <col min="10" max="10" width="10.83203125" style="31" customWidth="1" outlineLevel="1"/>
    <col min="11" max="11" width="11.33203125" style="31" customWidth="1" outlineLevel="1"/>
    <col min="12" max="14" width="10.6640625" style="31" bestFit="1" customWidth="1" outlineLevel="1"/>
    <col min="15" max="15" width="64" style="31" bestFit="1" customWidth="1" outlineLevel="2"/>
    <col min="16" max="16" width="4.6640625" style="31" customWidth="1" outlineLevel="1"/>
    <col min="17" max="17" width="30" style="31" customWidth="1" outlineLevel="1"/>
    <col min="18" max="18" width="11.5" style="1" customWidth="1" outlineLevel="1"/>
    <col min="19" max="22" width="9.1640625" style="1" customWidth="1" outlineLevel="1"/>
    <col min="23" max="23" width="9.83203125" style="1" customWidth="1" outlineLevel="1"/>
    <col min="24" max="263" width="8.83203125" style="1"/>
    <col min="264" max="264" width="22.83203125" style="1" customWidth="1"/>
    <col min="265" max="519" width="8.83203125" style="1"/>
    <col min="520" max="520" width="22.83203125" style="1" customWidth="1"/>
    <col min="521" max="775" width="8.83203125" style="1"/>
    <col min="776" max="776" width="22.83203125" style="1" customWidth="1"/>
    <col min="777" max="1031" width="8.83203125" style="1"/>
    <col min="1032" max="1032" width="22.83203125" style="1" customWidth="1"/>
    <col min="1033" max="1287" width="8.83203125" style="1"/>
    <col min="1288" max="1288" width="22.83203125" style="1" customWidth="1"/>
    <col min="1289" max="1543" width="8.83203125" style="1"/>
    <col min="1544" max="1544" width="22.83203125" style="1" customWidth="1"/>
    <col min="1545" max="1799" width="8.83203125" style="1"/>
    <col min="1800" max="1800" width="22.83203125" style="1" customWidth="1"/>
    <col min="1801" max="2055" width="8.83203125" style="1"/>
    <col min="2056" max="2056" width="22.83203125" style="1" customWidth="1"/>
    <col min="2057" max="2311" width="8.83203125" style="1"/>
    <col min="2312" max="2312" width="22.83203125" style="1" customWidth="1"/>
    <col min="2313" max="2567" width="8.83203125" style="1"/>
    <col min="2568" max="2568" width="22.83203125" style="1" customWidth="1"/>
    <col min="2569" max="2823" width="8.83203125" style="1"/>
    <col min="2824" max="2824" width="22.83203125" style="1" customWidth="1"/>
    <col min="2825" max="3079" width="8.83203125" style="1"/>
    <col min="3080" max="3080" width="22.83203125" style="1" customWidth="1"/>
    <col min="3081" max="3335" width="8.83203125" style="1"/>
    <col min="3336" max="3336" width="22.83203125" style="1" customWidth="1"/>
    <col min="3337" max="3591" width="8.83203125" style="1"/>
    <col min="3592" max="3592" width="22.83203125" style="1" customWidth="1"/>
    <col min="3593" max="3847" width="8.83203125" style="1"/>
    <col min="3848" max="3848" width="22.83203125" style="1" customWidth="1"/>
    <col min="3849" max="4103" width="8.83203125" style="1"/>
    <col min="4104" max="4104" width="22.83203125" style="1" customWidth="1"/>
    <col min="4105" max="4359" width="8.83203125" style="1"/>
    <col min="4360" max="4360" width="22.83203125" style="1" customWidth="1"/>
    <col min="4361" max="4615" width="8.83203125" style="1"/>
    <col min="4616" max="4616" width="22.83203125" style="1" customWidth="1"/>
    <col min="4617" max="4871" width="8.83203125" style="1"/>
    <col min="4872" max="4872" width="22.83203125" style="1" customWidth="1"/>
    <col min="4873" max="5127" width="8.83203125" style="1"/>
    <col min="5128" max="5128" width="22.83203125" style="1" customWidth="1"/>
    <col min="5129" max="5383" width="8.83203125" style="1"/>
    <col min="5384" max="5384" width="22.83203125" style="1" customWidth="1"/>
    <col min="5385" max="5639" width="8.83203125" style="1"/>
    <col min="5640" max="5640" width="22.83203125" style="1" customWidth="1"/>
    <col min="5641" max="5895" width="8.83203125" style="1"/>
    <col min="5896" max="5896" width="22.83203125" style="1" customWidth="1"/>
    <col min="5897" max="6151" width="8.83203125" style="1"/>
    <col min="6152" max="6152" width="22.83203125" style="1" customWidth="1"/>
    <col min="6153" max="6407" width="8.83203125" style="1"/>
    <col min="6408" max="6408" width="22.83203125" style="1" customWidth="1"/>
    <col min="6409" max="6663" width="8.83203125" style="1"/>
    <col min="6664" max="6664" width="22.83203125" style="1" customWidth="1"/>
    <col min="6665" max="6919" width="8.83203125" style="1"/>
    <col min="6920" max="6920" width="22.83203125" style="1" customWidth="1"/>
    <col min="6921" max="7175" width="8.83203125" style="1"/>
    <col min="7176" max="7176" width="22.83203125" style="1" customWidth="1"/>
    <col min="7177" max="7431" width="8.83203125" style="1"/>
    <col min="7432" max="7432" width="22.83203125" style="1" customWidth="1"/>
    <col min="7433" max="7687" width="8.83203125" style="1"/>
    <col min="7688" max="7688" width="22.83203125" style="1" customWidth="1"/>
    <col min="7689" max="7943" width="8.83203125" style="1"/>
    <col min="7944" max="7944" width="22.83203125" style="1" customWidth="1"/>
    <col min="7945" max="8199" width="8.83203125" style="1"/>
    <col min="8200" max="8200" width="22.83203125" style="1" customWidth="1"/>
    <col min="8201" max="8455" width="8.83203125" style="1"/>
    <col min="8456" max="8456" width="22.83203125" style="1" customWidth="1"/>
    <col min="8457" max="8711" width="8.83203125" style="1"/>
    <col min="8712" max="8712" width="22.83203125" style="1" customWidth="1"/>
    <col min="8713" max="8967" width="8.83203125" style="1"/>
    <col min="8968" max="8968" width="22.83203125" style="1" customWidth="1"/>
    <col min="8969" max="9223" width="8.83203125" style="1"/>
    <col min="9224" max="9224" width="22.83203125" style="1" customWidth="1"/>
    <col min="9225" max="9479" width="8.83203125" style="1"/>
    <col min="9480" max="9480" width="22.83203125" style="1" customWidth="1"/>
    <col min="9481" max="9735" width="8.83203125" style="1"/>
    <col min="9736" max="9736" width="22.83203125" style="1" customWidth="1"/>
    <col min="9737" max="9991" width="8.83203125" style="1"/>
    <col min="9992" max="9992" width="22.83203125" style="1" customWidth="1"/>
    <col min="9993" max="10247" width="8.83203125" style="1"/>
    <col min="10248" max="10248" width="22.83203125" style="1" customWidth="1"/>
    <col min="10249" max="10503" width="8.83203125" style="1"/>
    <col min="10504" max="10504" width="22.83203125" style="1" customWidth="1"/>
    <col min="10505" max="10759" width="8.83203125" style="1"/>
    <col min="10760" max="10760" width="22.83203125" style="1" customWidth="1"/>
    <col min="10761" max="11015" width="8.83203125" style="1"/>
    <col min="11016" max="11016" width="22.83203125" style="1" customWidth="1"/>
    <col min="11017" max="11271" width="8.83203125" style="1"/>
    <col min="11272" max="11272" width="22.83203125" style="1" customWidth="1"/>
    <col min="11273" max="11527" width="8.83203125" style="1"/>
    <col min="11528" max="11528" width="22.83203125" style="1" customWidth="1"/>
    <col min="11529" max="11783" width="8.83203125" style="1"/>
    <col min="11784" max="11784" width="22.83203125" style="1" customWidth="1"/>
    <col min="11785" max="12039" width="8.83203125" style="1"/>
    <col min="12040" max="12040" width="22.83203125" style="1" customWidth="1"/>
    <col min="12041" max="12295" width="8.83203125" style="1"/>
    <col min="12296" max="12296" width="22.83203125" style="1" customWidth="1"/>
    <col min="12297" max="12551" width="8.83203125" style="1"/>
    <col min="12552" max="12552" width="22.83203125" style="1" customWidth="1"/>
    <col min="12553" max="12807" width="8.83203125" style="1"/>
    <col min="12808" max="12808" width="22.83203125" style="1" customWidth="1"/>
    <col min="12809" max="13063" width="8.83203125" style="1"/>
    <col min="13064" max="13064" width="22.83203125" style="1" customWidth="1"/>
    <col min="13065" max="13319" width="8.83203125" style="1"/>
    <col min="13320" max="13320" width="22.83203125" style="1" customWidth="1"/>
    <col min="13321" max="13575" width="8.83203125" style="1"/>
    <col min="13576" max="13576" width="22.83203125" style="1" customWidth="1"/>
    <col min="13577" max="13831" width="8.83203125" style="1"/>
    <col min="13832" max="13832" width="22.83203125" style="1" customWidth="1"/>
    <col min="13833" max="14087" width="8.83203125" style="1"/>
    <col min="14088" max="14088" width="22.83203125" style="1" customWidth="1"/>
    <col min="14089" max="14343" width="8.83203125" style="1"/>
    <col min="14344" max="14344" width="22.83203125" style="1" customWidth="1"/>
    <col min="14345" max="14599" width="8.83203125" style="1"/>
    <col min="14600" max="14600" width="22.83203125" style="1" customWidth="1"/>
    <col min="14601" max="14855" width="8.83203125" style="1"/>
    <col min="14856" max="14856" width="22.83203125" style="1" customWidth="1"/>
    <col min="14857" max="15111" width="8.83203125" style="1"/>
    <col min="15112" max="15112" width="22.83203125" style="1" customWidth="1"/>
    <col min="15113" max="15367" width="8.83203125" style="1"/>
    <col min="15368" max="15368" width="22.83203125" style="1" customWidth="1"/>
    <col min="15369" max="15623" width="8.83203125" style="1"/>
    <col min="15624" max="15624" width="22.83203125" style="1" customWidth="1"/>
    <col min="15625" max="15879" width="8.83203125" style="1"/>
    <col min="15880" max="15880" width="22.83203125" style="1" customWidth="1"/>
    <col min="15881" max="16135" width="8.83203125" style="1"/>
    <col min="16136" max="16136" width="22.83203125" style="1" customWidth="1"/>
    <col min="16137" max="16384" width="8.83203125" style="1"/>
  </cols>
  <sheetData>
    <row r="1" spans="1:23" ht="20" x14ac:dyDescent="0.2">
      <c r="A1" s="22" t="str">
        <f>'Student Info'!$A$1</f>
        <v>Three Rivers Charter School</v>
      </c>
    </row>
    <row r="2" spans="1:23" ht="18" x14ac:dyDescent="0.2">
      <c r="A2" s="21" t="s">
        <v>794</v>
      </c>
      <c r="K2" s="170" t="s">
        <v>916</v>
      </c>
      <c r="L2" s="171"/>
      <c r="M2" s="171"/>
      <c r="N2" s="171"/>
    </row>
    <row r="3" spans="1:23" ht="18" x14ac:dyDescent="0.2">
      <c r="A3" s="21" t="str">
        <f>'Student Info'!$A$3</f>
        <v>Five Year Budget, 2015-16 to 2019-20</v>
      </c>
      <c r="K3" s="169">
        <v>1.7999999999999999E-2</v>
      </c>
      <c r="L3" s="169">
        <v>2.3E-2</v>
      </c>
      <c r="M3" s="169">
        <v>2.5000000000000001E-2</v>
      </c>
      <c r="N3" s="169">
        <v>2.7E-2</v>
      </c>
    </row>
    <row r="4" spans="1:23" ht="9.75" customHeight="1" x14ac:dyDescent="0.2">
      <c r="Q4" s="79"/>
    </row>
    <row r="5" spans="1:23" ht="18" x14ac:dyDescent="0.2">
      <c r="A5" s="29"/>
      <c r="B5" s="29"/>
      <c r="C5" s="29"/>
      <c r="I5" s="48"/>
      <c r="J5" s="174" t="s">
        <v>918</v>
      </c>
      <c r="K5" s="171"/>
      <c r="L5" s="171"/>
      <c r="M5" s="171"/>
      <c r="N5" s="171"/>
    </row>
    <row r="6" spans="1:23" s="31" customFormat="1" ht="19" thickBot="1" x14ac:dyDescent="0.25">
      <c r="A6" s="30"/>
      <c r="B6" s="30" t="s">
        <v>0</v>
      </c>
      <c r="C6" s="30"/>
      <c r="D6" s="32" t="str">
        <f>'Student Info'!D$7</f>
        <v>2015-16</v>
      </c>
      <c r="E6" s="32" t="str">
        <f>'Student Info'!E$7</f>
        <v>2016-17</v>
      </c>
      <c r="F6" s="32" t="str">
        <f>'Student Info'!F$7</f>
        <v>2017-18</v>
      </c>
      <c r="G6" s="32" t="str">
        <f>'Student Info'!G$7</f>
        <v>2018-19</v>
      </c>
      <c r="H6" s="32" t="str">
        <f>'Student Info'!H$7</f>
        <v>2019-20</v>
      </c>
      <c r="I6" s="48"/>
      <c r="J6" s="32" t="str">
        <f>D6</f>
        <v>2015-16</v>
      </c>
      <c r="K6" s="32" t="str">
        <f>E6</f>
        <v>2016-17</v>
      </c>
      <c r="L6" s="32" t="str">
        <f>F6</f>
        <v>2017-18</v>
      </c>
      <c r="M6" s="32" t="str">
        <f>G6</f>
        <v>2018-19</v>
      </c>
      <c r="N6" s="32" t="str">
        <f>H6</f>
        <v>2019-20</v>
      </c>
      <c r="R6" s="1"/>
      <c r="S6" s="1"/>
      <c r="T6" s="1"/>
    </row>
    <row r="7" spans="1:23" s="31" customFormat="1" ht="18" x14ac:dyDescent="0.2">
      <c r="A7" s="70" t="s">
        <v>779</v>
      </c>
      <c r="B7" s="50"/>
      <c r="C7" s="157" t="s">
        <v>1187</v>
      </c>
      <c r="D7" s="51"/>
      <c r="E7" s="51"/>
      <c r="F7" s="51"/>
      <c r="G7" s="51"/>
      <c r="H7" s="51"/>
      <c r="I7" s="51"/>
      <c r="K7" s="157"/>
      <c r="L7" s="157"/>
      <c r="M7" s="157"/>
      <c r="N7" s="157"/>
      <c r="O7" s="223"/>
      <c r="R7" s="1"/>
      <c r="S7" s="1"/>
      <c r="T7" s="1"/>
    </row>
    <row r="8" spans="1:23" s="31" customFormat="1" x14ac:dyDescent="0.2">
      <c r="A8" s="50"/>
      <c r="B8" s="133" t="s">
        <v>224</v>
      </c>
      <c r="C8" s="134" t="s">
        <v>1185</v>
      </c>
      <c r="D8" s="199">
        <v>383216.69144042558</v>
      </c>
      <c r="E8" s="199">
        <v>463087.07930792007</v>
      </c>
      <c r="F8" s="199">
        <v>528716.25540315988</v>
      </c>
      <c r="G8" s="199">
        <v>606512.79458510003</v>
      </c>
      <c r="H8" s="199">
        <v>712696.02589353989</v>
      </c>
      <c r="I8" s="85"/>
      <c r="J8" s="354" t="s">
        <v>1205</v>
      </c>
      <c r="K8" s="355"/>
      <c r="L8" s="355"/>
      <c r="M8" s="355"/>
      <c r="N8" s="356"/>
      <c r="O8" s="54" t="s">
        <v>1188</v>
      </c>
      <c r="Q8" s="80"/>
      <c r="R8" s="1"/>
      <c r="S8" s="1"/>
      <c r="T8" s="1"/>
      <c r="U8" s="1"/>
      <c r="V8" s="1"/>
      <c r="W8" s="81"/>
    </row>
    <row r="9" spans="1:23" s="31" customFormat="1" x14ac:dyDescent="0.2">
      <c r="A9" s="50"/>
      <c r="B9" s="133" t="s">
        <v>1194</v>
      </c>
      <c r="C9" s="134" t="s">
        <v>1186</v>
      </c>
      <c r="D9" s="199">
        <v>152208.24203409441</v>
      </c>
      <c r="E9" s="199">
        <v>150155.5</v>
      </c>
      <c r="F9" s="199">
        <v>138143.06</v>
      </c>
      <c r="G9" s="199">
        <v>66068.42</v>
      </c>
      <c r="H9" s="199">
        <v>0</v>
      </c>
      <c r="I9" s="85"/>
      <c r="J9" s="357"/>
      <c r="K9" s="358"/>
      <c r="L9" s="358"/>
      <c r="M9" s="358"/>
      <c r="N9" s="359"/>
      <c r="O9" s="54" t="s">
        <v>1189</v>
      </c>
      <c r="P9" s="219"/>
      <c r="Q9" s="80"/>
      <c r="R9" s="1"/>
      <c r="S9" s="1"/>
      <c r="T9" s="1"/>
    </row>
    <row r="10" spans="1:23" s="31" customFormat="1" x14ac:dyDescent="0.2">
      <c r="A10" s="50"/>
      <c r="B10" s="135" t="s">
        <v>266</v>
      </c>
      <c r="C10" s="136" t="s">
        <v>1193</v>
      </c>
      <c r="D10" s="199">
        <f>+J10*'Student Info'!D64</f>
        <v>333268.44699999999</v>
      </c>
      <c r="E10" s="199">
        <f>+K10*'Student Info'!E64</f>
        <v>341232.4705</v>
      </c>
      <c r="F10" s="199">
        <f>+L10*'Student Info'!F64</f>
        <v>341232.4705</v>
      </c>
      <c r="G10" s="199">
        <f>+M10*'Student Info'!G64</f>
        <v>341232.4705</v>
      </c>
      <c r="H10" s="199">
        <f>+N10*'Student Info'!H64</f>
        <v>341232.4705</v>
      </c>
      <c r="I10" s="85"/>
      <c r="J10" s="280">
        <v>3051.35</v>
      </c>
      <c r="K10" s="281">
        <f>$J$10</f>
        <v>3051.35</v>
      </c>
      <c r="L10" s="281">
        <f>$J$10</f>
        <v>3051.35</v>
      </c>
      <c r="M10" s="281">
        <f>$J$10</f>
        <v>3051.35</v>
      </c>
      <c r="N10" s="281">
        <f>$J$10</f>
        <v>3051.35</v>
      </c>
      <c r="O10" s="54" t="s">
        <v>799</v>
      </c>
      <c r="Q10" s="80"/>
      <c r="R10" s="1"/>
      <c r="S10" s="1"/>
      <c r="T10" s="1"/>
    </row>
    <row r="11" spans="1:23" s="31" customFormat="1" x14ac:dyDescent="0.2">
      <c r="A11" s="50"/>
      <c r="B11" s="133" t="s">
        <v>951</v>
      </c>
      <c r="C11" s="134" t="s">
        <v>833</v>
      </c>
      <c r="D11" s="64">
        <v>2065</v>
      </c>
      <c r="E11" s="64"/>
      <c r="F11" s="64"/>
      <c r="G11" s="64"/>
      <c r="H11" s="64"/>
      <c r="I11" s="85"/>
      <c r="J11" s="56"/>
      <c r="K11" s="56"/>
      <c r="L11" s="56"/>
      <c r="M11" s="56"/>
      <c r="N11" s="56"/>
      <c r="O11" s="54"/>
      <c r="Q11" s="80"/>
      <c r="R11" s="1"/>
      <c r="S11" s="1"/>
      <c r="T11" s="1"/>
      <c r="U11" s="1"/>
      <c r="V11" s="1"/>
    </row>
    <row r="12" spans="1:23" s="31" customFormat="1" x14ac:dyDescent="0.2">
      <c r="A12" s="50"/>
      <c r="B12" s="133" t="s">
        <v>274</v>
      </c>
      <c r="C12" s="134" t="s">
        <v>793</v>
      </c>
      <c r="D12" s="64"/>
      <c r="E12" s="64"/>
      <c r="F12" s="64"/>
      <c r="G12" s="64"/>
      <c r="H12" s="64"/>
      <c r="I12" s="85"/>
      <c r="J12" s="218">
        <v>125</v>
      </c>
      <c r="K12" s="218">
        <f>J12*(1+K3)</f>
        <v>127.25</v>
      </c>
      <c r="L12" s="218">
        <f>K12*(1+L3)</f>
        <v>130.17675</v>
      </c>
      <c r="M12" s="218">
        <f>L12*(1+M3)</f>
        <v>133.43116874999998</v>
      </c>
      <c r="N12" s="218">
        <f>M12*(1+N3)</f>
        <v>137.03381030624996</v>
      </c>
      <c r="O12" s="54" t="s">
        <v>1196</v>
      </c>
      <c r="Q12" s="80"/>
      <c r="R12" s="1"/>
      <c r="S12" s="1"/>
      <c r="T12" s="1"/>
    </row>
    <row r="13" spans="1:23" s="31" customFormat="1" x14ac:dyDescent="0.2">
      <c r="A13" s="50"/>
      <c r="B13" s="133" t="s">
        <v>316</v>
      </c>
      <c r="C13" s="133" t="s">
        <v>780</v>
      </c>
      <c r="D13" s="64">
        <f>J13*'Student Info'!D64</f>
        <v>19768.82</v>
      </c>
      <c r="E13" s="64">
        <f>K13*'Student Info'!E64</f>
        <v>20241.23</v>
      </c>
      <c r="F13" s="64">
        <f>L13*'Student Info'!F64</f>
        <v>20241.23</v>
      </c>
      <c r="G13" s="64">
        <f>M13*'Student Info'!G64</f>
        <v>20241.23</v>
      </c>
      <c r="H13" s="64">
        <f>N13*'Student Info'!H64</f>
        <v>20241.23</v>
      </c>
      <c r="I13" s="85"/>
      <c r="J13" s="218">
        <v>181</v>
      </c>
      <c r="K13" s="218">
        <f>J13</f>
        <v>181</v>
      </c>
      <c r="L13" s="218">
        <f>K13</f>
        <v>181</v>
      </c>
      <c r="M13" s="218">
        <f>L13</f>
        <v>181</v>
      </c>
      <c r="N13" s="218">
        <f>M13</f>
        <v>181</v>
      </c>
      <c r="O13" s="54" t="s">
        <v>915</v>
      </c>
      <c r="R13" s="1"/>
      <c r="S13" s="1"/>
      <c r="T13" s="1"/>
    </row>
    <row r="14" spans="1:23" s="31" customFormat="1" x14ac:dyDescent="0.2">
      <c r="A14" s="49"/>
      <c r="B14" s="158" t="s">
        <v>306</v>
      </c>
      <c r="C14" s="134" t="s">
        <v>836</v>
      </c>
      <c r="D14" s="64"/>
      <c r="E14" s="64"/>
      <c r="F14" s="64"/>
      <c r="G14" s="64"/>
      <c r="H14" s="64"/>
      <c r="I14" s="85"/>
      <c r="J14" s="218">
        <v>48.4</v>
      </c>
      <c r="K14" s="218">
        <f>J14*(1+K3)</f>
        <v>49.2712</v>
      </c>
      <c r="L14" s="218">
        <f t="shared" ref="L14:N14" si="0">K14*(1+L3)</f>
        <v>50.404437599999994</v>
      </c>
      <c r="M14" s="218">
        <f t="shared" si="0"/>
        <v>51.664548539999991</v>
      </c>
      <c r="N14" s="218">
        <f t="shared" si="0"/>
        <v>53.059491350579989</v>
      </c>
      <c r="O14" s="54"/>
      <c r="Q14" s="80"/>
      <c r="R14" s="82"/>
      <c r="S14" s="82"/>
      <c r="T14" s="82"/>
      <c r="U14" s="82"/>
      <c r="V14" s="82"/>
      <c r="W14" s="83"/>
    </row>
    <row r="15" spans="1:23" s="31" customFormat="1" x14ac:dyDescent="0.2">
      <c r="A15" s="50"/>
      <c r="B15" s="133" t="s">
        <v>834</v>
      </c>
      <c r="C15" s="134" t="s">
        <v>784</v>
      </c>
      <c r="D15" s="64">
        <f>+'Expenses Input'!D36*0.75</f>
        <v>38295</v>
      </c>
      <c r="E15" s="64">
        <f>+'Expenses Input'!E36*0.75</f>
        <v>39058.649999999994</v>
      </c>
      <c r="F15" s="64">
        <f>+'Expenses Input'!F36*0.75</f>
        <v>39956.998949999994</v>
      </c>
      <c r="G15" s="64">
        <f>+'Expenses Input'!G36*0.75</f>
        <v>40955.923923749993</v>
      </c>
      <c r="H15" s="64">
        <f>+'Expenses Input'!H36*0.75</f>
        <v>42061.733869691234</v>
      </c>
      <c r="I15" s="85" t="s">
        <v>1097</v>
      </c>
      <c r="J15" s="56"/>
      <c r="K15" s="56"/>
      <c r="L15" s="56"/>
      <c r="M15" s="56"/>
      <c r="N15" s="56"/>
      <c r="O15" s="54" t="s">
        <v>786</v>
      </c>
      <c r="R15" s="1"/>
      <c r="S15" s="1"/>
      <c r="T15" s="1"/>
      <c r="W15" s="78"/>
    </row>
    <row r="16" spans="1:23" s="31" customFormat="1" ht="18" x14ac:dyDescent="0.2">
      <c r="A16" s="47"/>
      <c r="B16" s="133" t="s">
        <v>328</v>
      </c>
      <c r="C16" s="134" t="s">
        <v>1243</v>
      </c>
      <c r="D16" s="64">
        <v>7358</v>
      </c>
      <c r="E16" s="64"/>
      <c r="F16" s="64"/>
      <c r="G16" s="64"/>
      <c r="H16" s="64"/>
      <c r="I16" s="85" t="s">
        <v>1097</v>
      </c>
      <c r="J16" s="218"/>
      <c r="K16" s="291"/>
      <c r="L16" s="291"/>
      <c r="M16" s="291"/>
      <c r="N16" s="291"/>
      <c r="O16" s="54" t="s">
        <v>917</v>
      </c>
      <c r="R16" s="1"/>
      <c r="S16" s="1"/>
      <c r="T16" s="1"/>
    </row>
    <row r="17" spans="1:20" s="31" customFormat="1" ht="18" x14ac:dyDescent="0.2">
      <c r="A17" s="47"/>
      <c r="B17" s="133" t="s">
        <v>314</v>
      </c>
      <c r="C17" s="134" t="s">
        <v>1207</v>
      </c>
      <c r="D17" s="64">
        <v>2029</v>
      </c>
      <c r="E17" s="64">
        <f>+K17*'Student Info'!D64</f>
        <v>2069.7190000000001</v>
      </c>
      <c r="F17" s="64">
        <f>+L17*'Student Info'!E64</f>
        <v>2167.9196054999998</v>
      </c>
      <c r="G17" s="64">
        <f>+M17*'Student Info'!F64</f>
        <v>2222.1175956374996</v>
      </c>
      <c r="H17" s="64">
        <f>+N17*'Student Info'!G64</f>
        <v>2282.1147707197119</v>
      </c>
      <c r="I17" s="85"/>
      <c r="J17" s="218"/>
      <c r="K17" s="218">
        <v>18.95</v>
      </c>
      <c r="L17" s="218">
        <f t="shared" ref="L17:N17" si="1">K17*(1+L3)</f>
        <v>19.385849999999998</v>
      </c>
      <c r="M17" s="218">
        <f t="shared" si="1"/>
        <v>19.870496249999995</v>
      </c>
      <c r="N17" s="218">
        <f t="shared" si="1"/>
        <v>20.406999648749995</v>
      </c>
      <c r="O17" s="54"/>
      <c r="R17" s="1"/>
      <c r="S17" s="1"/>
      <c r="T17" s="1"/>
    </row>
    <row r="18" spans="1:20" s="31" customFormat="1" ht="18" x14ac:dyDescent="0.2">
      <c r="A18" s="47"/>
      <c r="B18" s="133" t="s">
        <v>314</v>
      </c>
      <c r="C18" s="347" t="s">
        <v>1244</v>
      </c>
      <c r="D18" s="302">
        <f>48808+8231</f>
        <v>57039</v>
      </c>
      <c r="E18" s="302"/>
      <c r="F18" s="302"/>
      <c r="G18" s="302"/>
      <c r="H18" s="302"/>
      <c r="I18" s="85"/>
      <c r="J18" s="56"/>
      <c r="K18" s="56"/>
      <c r="L18" s="56"/>
      <c r="M18" s="56"/>
      <c r="N18" s="56"/>
      <c r="O18" s="54"/>
      <c r="R18" s="1"/>
      <c r="S18" s="1"/>
      <c r="T18" s="1"/>
    </row>
    <row r="19" spans="1:20" s="31" customFormat="1" ht="18" x14ac:dyDescent="0.2">
      <c r="A19" s="47"/>
      <c r="B19" s="73" t="s">
        <v>796</v>
      </c>
      <c r="C19" s="34"/>
      <c r="D19" s="172">
        <f>SUM(D8:D18)</f>
        <v>995248.20047451986</v>
      </c>
      <c r="E19" s="172">
        <f>SUM(E8:E18)</f>
        <v>1015844.6488079202</v>
      </c>
      <c r="F19" s="172">
        <f>SUM(F8:F18)</f>
        <v>1070457.93445866</v>
      </c>
      <c r="G19" s="172">
        <f>SUM(G8:G18)</f>
        <v>1077232.9566044875</v>
      </c>
      <c r="H19" s="172">
        <f>SUM(H8:H18)</f>
        <v>1118513.5750339509</v>
      </c>
      <c r="I19" s="86"/>
      <c r="J19" s="46"/>
      <c r="K19" s="46"/>
      <c r="L19" s="46"/>
      <c r="M19" s="46"/>
      <c r="N19" s="46"/>
      <c r="O19" s="50"/>
      <c r="R19" s="1"/>
      <c r="S19" s="1"/>
      <c r="T19" s="1"/>
    </row>
    <row r="20" spans="1:20" s="31" customFormat="1" ht="6.75" customHeight="1" x14ac:dyDescent="0.2">
      <c r="A20" s="47"/>
      <c r="B20" s="72"/>
      <c r="C20" s="50"/>
      <c r="D20" s="298"/>
      <c r="E20" s="298"/>
      <c r="F20" s="298"/>
      <c r="G20" s="298"/>
      <c r="H20" s="298"/>
      <c r="I20" s="68"/>
      <c r="J20" s="68"/>
      <c r="K20" s="68"/>
      <c r="L20" s="68"/>
      <c r="M20" s="68"/>
      <c r="N20" s="68"/>
      <c r="O20" s="50"/>
      <c r="P20" s="71"/>
      <c r="R20" s="1"/>
      <c r="S20" s="1"/>
      <c r="T20" s="1"/>
    </row>
    <row r="21" spans="1:20" s="31" customFormat="1" ht="18" x14ac:dyDescent="0.2">
      <c r="A21" s="47" t="s">
        <v>785</v>
      </c>
      <c r="B21" s="50"/>
      <c r="C21" s="50"/>
      <c r="D21" s="298"/>
      <c r="E21" s="298"/>
      <c r="F21" s="298"/>
      <c r="G21" s="298"/>
      <c r="H21" s="298"/>
      <c r="I21" s="68"/>
      <c r="J21" s="68"/>
      <c r="K21" s="68"/>
      <c r="L21" s="68"/>
      <c r="M21" s="68"/>
      <c r="N21" s="68"/>
      <c r="O21" s="71"/>
      <c r="P21" s="71"/>
      <c r="Q21" s="71" t="s">
        <v>923</v>
      </c>
      <c r="R21" s="64" t="e">
        <f>((0.16)*('Student Info'!#REF!*'Student Info'!R$64)*185)+((0.16)*('Student Info'!R$67*'Student Info'!R$64)*185)</f>
        <v>#REF!</v>
      </c>
      <c r="S21" s="1"/>
      <c r="T21" s="1"/>
    </row>
    <row r="22" spans="1:20" s="31" customFormat="1" ht="18" x14ac:dyDescent="0.2">
      <c r="A22" s="47"/>
      <c r="B22" s="135" t="s">
        <v>278</v>
      </c>
      <c r="C22" s="136" t="s">
        <v>619</v>
      </c>
      <c r="D22" s="64"/>
      <c r="E22" s="64"/>
      <c r="F22" s="64"/>
      <c r="G22" s="64"/>
      <c r="H22" s="64"/>
      <c r="I22" s="85"/>
      <c r="J22" s="218">
        <v>572.41999999999996</v>
      </c>
      <c r="K22" s="56">
        <v>533.77</v>
      </c>
      <c r="L22" s="56">
        <v>533.77</v>
      </c>
      <c r="M22" s="56">
        <v>533.77</v>
      </c>
      <c r="N22" s="56">
        <v>533.77</v>
      </c>
      <c r="O22" s="54" t="s">
        <v>922</v>
      </c>
      <c r="Q22" s="71" t="s">
        <v>926</v>
      </c>
      <c r="R22" s="64" t="e">
        <f>((1.51+2.77+0.76)*('Student Info'!#REF!*'Student Info'!R$64)*185)+((1.21+2.37+0.38)*('Student Info'!R$67*'Student Info'!R$64)*185)</f>
        <v>#REF!</v>
      </c>
      <c r="S22" s="1"/>
      <c r="T22" s="1"/>
    </row>
    <row r="23" spans="1:20" s="31" customFormat="1" ht="18" x14ac:dyDescent="0.2">
      <c r="A23" s="47"/>
      <c r="B23" s="135" t="s">
        <v>292</v>
      </c>
      <c r="C23" s="136" t="s">
        <v>835</v>
      </c>
      <c r="D23" s="64"/>
      <c r="E23" s="64"/>
      <c r="F23" s="64"/>
      <c r="G23" s="64"/>
      <c r="H23" s="64"/>
      <c r="I23" s="85"/>
      <c r="J23" s="299"/>
      <c r="K23" s="59"/>
      <c r="L23" s="59"/>
      <c r="M23" s="59"/>
      <c r="N23" s="59"/>
      <c r="O23" s="54" t="s">
        <v>783</v>
      </c>
      <c r="R23" s="1"/>
      <c r="S23" s="1"/>
      <c r="T23" s="1"/>
    </row>
    <row r="24" spans="1:20" s="31" customFormat="1" ht="18" x14ac:dyDescent="0.2">
      <c r="A24" s="47"/>
      <c r="B24" s="133" t="s">
        <v>686</v>
      </c>
      <c r="C24" s="134" t="s">
        <v>787</v>
      </c>
      <c r="D24" s="64"/>
      <c r="E24" s="64"/>
      <c r="F24" s="64"/>
      <c r="G24" s="64"/>
      <c r="H24" s="64"/>
      <c r="I24" s="85" t="s">
        <v>1097</v>
      </c>
      <c r="J24" s="218">
        <v>127.407</v>
      </c>
      <c r="K24" s="291">
        <f t="shared" ref="K24:N25" si="2">J24*(1+K$3)</f>
        <v>129.70032599999999</v>
      </c>
      <c r="L24" s="291">
        <f t="shared" si="2"/>
        <v>132.68343349799997</v>
      </c>
      <c r="M24" s="291">
        <f t="shared" si="2"/>
        <v>136.00051933544995</v>
      </c>
      <c r="N24" s="291">
        <f t="shared" si="2"/>
        <v>139.67253335750709</v>
      </c>
      <c r="O24" s="54" t="s">
        <v>924</v>
      </c>
      <c r="R24" s="1"/>
      <c r="S24" s="1"/>
      <c r="T24" s="1"/>
    </row>
    <row r="25" spans="1:20" s="31" customFormat="1" ht="18" x14ac:dyDescent="0.2">
      <c r="A25" s="47"/>
      <c r="B25" s="133" t="s">
        <v>687</v>
      </c>
      <c r="C25" s="134" t="s">
        <v>788</v>
      </c>
      <c r="D25" s="64"/>
      <c r="E25" s="64"/>
      <c r="F25" s="64"/>
      <c r="G25" s="64"/>
      <c r="H25" s="64"/>
      <c r="I25" s="85"/>
      <c r="J25" s="218">
        <v>2.7867000000000002</v>
      </c>
      <c r="K25" s="291">
        <f t="shared" si="2"/>
        <v>2.8368606000000001</v>
      </c>
      <c r="L25" s="291">
        <f t="shared" si="2"/>
        <v>2.9021083937999999</v>
      </c>
      <c r="M25" s="291">
        <f t="shared" si="2"/>
        <v>2.9746611036449995</v>
      </c>
      <c r="N25" s="291">
        <f t="shared" si="2"/>
        <v>3.0549769534434144</v>
      </c>
      <c r="O25" s="54" t="s">
        <v>781</v>
      </c>
      <c r="R25" s="1"/>
      <c r="S25" s="1"/>
      <c r="T25" s="1"/>
    </row>
    <row r="26" spans="1:20" s="31" customFormat="1" ht="18" x14ac:dyDescent="0.2">
      <c r="A26" s="47"/>
      <c r="B26" s="133" t="s">
        <v>688</v>
      </c>
      <c r="C26" s="134" t="s">
        <v>789</v>
      </c>
      <c r="D26" s="64"/>
      <c r="E26" s="64"/>
      <c r="F26" s="64"/>
      <c r="G26" s="64"/>
      <c r="H26" s="64"/>
      <c r="I26" s="85"/>
      <c r="J26" s="218">
        <v>27.07</v>
      </c>
      <c r="K26" s="291">
        <f t="shared" ref="K26" si="3">J26*(1+K$3)</f>
        <v>27.557259999999999</v>
      </c>
      <c r="L26" s="291">
        <f t="shared" ref="L26" si="4">K26*(1+L$3)</f>
        <v>28.191076979999998</v>
      </c>
      <c r="M26" s="291">
        <f t="shared" ref="M26" si="5">L26*(1+M$3)</f>
        <v>28.895853904499997</v>
      </c>
      <c r="N26" s="291">
        <f t="shared" ref="N26" si="6">M26*(1+N$3)</f>
        <v>29.676041959921495</v>
      </c>
      <c r="O26" s="54" t="s">
        <v>781</v>
      </c>
      <c r="R26" s="1"/>
      <c r="S26" s="1"/>
      <c r="T26" s="1"/>
    </row>
    <row r="27" spans="1:20" s="31" customFormat="1" ht="18" x14ac:dyDescent="0.2">
      <c r="A27" s="47"/>
      <c r="B27" s="133" t="s">
        <v>689</v>
      </c>
      <c r="C27" s="134" t="s">
        <v>790</v>
      </c>
      <c r="D27" s="64"/>
      <c r="E27" s="64"/>
      <c r="F27" s="64"/>
      <c r="G27" s="64"/>
      <c r="H27" s="64"/>
      <c r="I27" s="85"/>
      <c r="J27" s="56"/>
      <c r="K27" s="56"/>
      <c r="L27" s="56"/>
      <c r="M27" s="56"/>
      <c r="N27" s="56"/>
      <c r="O27" s="54" t="s">
        <v>781</v>
      </c>
      <c r="R27" s="1"/>
      <c r="S27" s="1"/>
      <c r="T27" s="1"/>
    </row>
    <row r="28" spans="1:20" s="31" customFormat="1" ht="18" x14ac:dyDescent="0.2">
      <c r="A28" s="47"/>
      <c r="B28" s="133" t="s">
        <v>690</v>
      </c>
      <c r="C28" s="134" t="s">
        <v>791</v>
      </c>
      <c r="D28" s="64"/>
      <c r="E28" s="64"/>
      <c r="F28" s="64"/>
      <c r="G28" s="64"/>
      <c r="H28" s="64"/>
      <c r="I28" s="85"/>
      <c r="J28" s="59"/>
      <c r="K28" s="59"/>
      <c r="L28" s="59"/>
      <c r="M28" s="59"/>
      <c r="N28" s="59"/>
      <c r="O28" s="54" t="s">
        <v>781</v>
      </c>
      <c r="R28" s="1"/>
      <c r="S28" s="1"/>
      <c r="T28" s="1"/>
    </row>
    <row r="29" spans="1:20" s="31" customFormat="1" ht="18" x14ac:dyDescent="0.2">
      <c r="A29" s="47"/>
      <c r="B29" s="133" t="s">
        <v>948</v>
      </c>
      <c r="C29" s="134" t="s">
        <v>949</v>
      </c>
      <c r="D29" s="64"/>
      <c r="E29" s="64"/>
      <c r="F29" s="64"/>
      <c r="G29" s="64"/>
      <c r="H29" s="64"/>
      <c r="I29" s="85"/>
      <c r="J29" s="59"/>
      <c r="K29" s="59"/>
      <c r="L29" s="59"/>
      <c r="M29" s="59"/>
      <c r="N29" s="59"/>
      <c r="O29" s="54" t="s">
        <v>792</v>
      </c>
      <c r="R29" s="1"/>
      <c r="S29" s="1"/>
      <c r="T29" s="1"/>
    </row>
    <row r="30" spans="1:20" s="31" customFormat="1" ht="18" x14ac:dyDescent="0.2">
      <c r="A30" s="47"/>
      <c r="B30" s="73" t="s">
        <v>797</v>
      </c>
      <c r="C30" s="34"/>
      <c r="D30" s="172">
        <f>SUM(D22:D29)</f>
        <v>0</v>
      </c>
      <c r="E30" s="172">
        <f>SUM(E22:E29)</f>
        <v>0</v>
      </c>
      <c r="F30" s="172">
        <f>SUM(F22:F29)</f>
        <v>0</v>
      </c>
      <c r="G30" s="172">
        <f>SUM(G22:G29)</f>
        <v>0</v>
      </c>
      <c r="H30" s="172">
        <f>SUM(H22:H29)</f>
        <v>0</v>
      </c>
      <c r="I30" s="86"/>
      <c r="J30" s="68"/>
      <c r="K30" s="68"/>
      <c r="L30" s="68"/>
      <c r="M30" s="68"/>
      <c r="N30" s="68"/>
      <c r="O30" s="50"/>
      <c r="R30" s="1"/>
      <c r="S30" s="1"/>
      <c r="T30" s="1"/>
    </row>
    <row r="31" spans="1:20" s="31" customFormat="1" ht="5.25" customHeight="1" x14ac:dyDescent="0.2">
      <c r="A31" s="47"/>
      <c r="B31" s="72"/>
      <c r="C31" s="50"/>
      <c r="D31" s="298"/>
      <c r="E31" s="298"/>
      <c r="F31" s="298"/>
      <c r="G31" s="298"/>
      <c r="H31" s="298"/>
      <c r="I31" s="68"/>
      <c r="J31" s="68"/>
      <c r="K31" s="68"/>
      <c r="L31" s="68"/>
      <c r="M31" s="68"/>
      <c r="N31" s="68"/>
      <c r="O31" s="50"/>
      <c r="P31" s="71"/>
      <c r="R31" s="1"/>
      <c r="S31" s="1"/>
      <c r="T31" s="1"/>
    </row>
    <row r="32" spans="1:20" s="31" customFormat="1" ht="18" x14ac:dyDescent="0.2">
      <c r="A32" s="47" t="s">
        <v>795</v>
      </c>
      <c r="B32" s="68"/>
      <c r="C32" s="68"/>
      <c r="D32" s="298"/>
      <c r="E32" s="298"/>
      <c r="F32" s="298"/>
      <c r="G32" s="298"/>
      <c r="H32" s="298"/>
      <c r="I32" s="68"/>
      <c r="J32" s="68"/>
      <c r="K32" s="68"/>
      <c r="L32" s="68"/>
      <c r="M32" s="68"/>
      <c r="N32" s="68"/>
      <c r="O32" s="71"/>
      <c r="P32" s="71"/>
      <c r="R32" s="1"/>
      <c r="S32" s="1"/>
      <c r="T32" s="1"/>
    </row>
    <row r="33" spans="1:20" s="31" customFormat="1" ht="18" x14ac:dyDescent="0.2">
      <c r="A33" s="47"/>
      <c r="B33" s="135" t="s">
        <v>364</v>
      </c>
      <c r="C33" s="136" t="s">
        <v>625</v>
      </c>
      <c r="D33" s="64">
        <v>945</v>
      </c>
      <c r="E33" s="64">
        <v>1000</v>
      </c>
      <c r="F33" s="64">
        <v>1000</v>
      </c>
      <c r="G33" s="64">
        <v>1000</v>
      </c>
      <c r="H33" s="64">
        <v>1000</v>
      </c>
      <c r="I33" s="85"/>
      <c r="J33" s="56"/>
      <c r="K33" s="56"/>
      <c r="L33" s="56"/>
      <c r="M33" s="56"/>
      <c r="N33" s="56"/>
      <c r="O33" s="54" t="s">
        <v>781</v>
      </c>
      <c r="R33" s="1"/>
      <c r="S33" s="1"/>
      <c r="T33" s="1"/>
    </row>
    <row r="34" spans="1:20" s="31" customFormat="1" ht="18" x14ac:dyDescent="0.2">
      <c r="A34" s="47"/>
      <c r="B34" s="133" t="s">
        <v>396</v>
      </c>
      <c r="C34" s="134" t="s">
        <v>627</v>
      </c>
      <c r="D34" s="64"/>
      <c r="E34" s="64"/>
      <c r="F34" s="64"/>
      <c r="G34" s="64"/>
      <c r="H34" s="64"/>
      <c r="I34" s="85"/>
      <c r="J34" s="56"/>
      <c r="K34" s="56"/>
      <c r="L34" s="56"/>
      <c r="M34" s="56"/>
      <c r="N34" s="56"/>
      <c r="O34" s="54" t="s">
        <v>781</v>
      </c>
      <c r="R34" s="1"/>
      <c r="S34" s="1"/>
      <c r="T34" s="1"/>
    </row>
    <row r="35" spans="1:20" s="31" customFormat="1" ht="18" x14ac:dyDescent="0.2">
      <c r="A35" s="47"/>
      <c r="B35" s="133" t="s">
        <v>691</v>
      </c>
      <c r="C35" s="134" t="s">
        <v>628</v>
      </c>
      <c r="D35" s="64"/>
      <c r="E35" s="64"/>
      <c r="F35" s="64"/>
      <c r="G35" s="64"/>
      <c r="H35" s="64"/>
      <c r="I35" s="85"/>
      <c r="J35" s="56"/>
      <c r="K35" s="56"/>
      <c r="L35" s="56"/>
      <c r="M35" s="56"/>
      <c r="N35" s="56"/>
      <c r="O35" s="54" t="s">
        <v>781</v>
      </c>
      <c r="R35" s="1"/>
      <c r="S35" s="1"/>
      <c r="T35" s="1"/>
    </row>
    <row r="36" spans="1:20" s="31" customFormat="1" x14ac:dyDescent="0.2">
      <c r="A36" s="49"/>
      <c r="B36" s="158" t="s">
        <v>850</v>
      </c>
      <c r="C36" s="134" t="s">
        <v>838</v>
      </c>
      <c r="D36" s="64"/>
      <c r="E36" s="64"/>
      <c r="F36" s="64"/>
      <c r="G36" s="64"/>
      <c r="H36" s="64"/>
      <c r="I36" s="85"/>
      <c r="J36" s="56"/>
      <c r="K36" s="56"/>
      <c r="L36" s="56"/>
      <c r="M36" s="56"/>
      <c r="N36" s="56"/>
      <c r="O36" s="54" t="s">
        <v>781</v>
      </c>
      <c r="R36" s="1"/>
      <c r="S36" s="1"/>
      <c r="T36" s="1"/>
    </row>
    <row r="37" spans="1:20" s="31" customFormat="1" x14ac:dyDescent="0.2">
      <c r="A37" s="50"/>
      <c r="B37" s="133" t="s">
        <v>402</v>
      </c>
      <c r="C37" s="134" t="s">
        <v>1206</v>
      </c>
      <c r="D37" s="64"/>
      <c r="E37" s="64"/>
      <c r="F37" s="64"/>
      <c r="G37" s="64"/>
      <c r="H37" s="64"/>
      <c r="I37" s="85"/>
      <c r="J37" s="218">
        <v>507.4</v>
      </c>
      <c r="K37" s="291">
        <f>J37*(1+K$3)</f>
        <v>516.53319999999997</v>
      </c>
      <c r="L37" s="291">
        <f>K37*(1+L$3)</f>
        <v>528.41346359999989</v>
      </c>
      <c r="M37" s="291">
        <f>L37*(1+M$3)</f>
        <v>541.62380018999988</v>
      </c>
      <c r="N37" s="291">
        <f>M37*(1+N$3)</f>
        <v>556.24764279512988</v>
      </c>
      <c r="O37" s="54" t="s">
        <v>781</v>
      </c>
      <c r="R37" s="1"/>
      <c r="S37" s="1"/>
      <c r="T37" s="1"/>
    </row>
    <row r="38" spans="1:20" s="31" customFormat="1" ht="18" x14ac:dyDescent="0.2">
      <c r="A38" s="47"/>
      <c r="B38" s="133" t="s">
        <v>440</v>
      </c>
      <c r="C38" s="134" t="s">
        <v>629</v>
      </c>
      <c r="D38" s="64"/>
      <c r="E38" s="64"/>
      <c r="F38" s="64"/>
      <c r="G38" s="64"/>
      <c r="H38" s="64"/>
      <c r="I38" s="85"/>
      <c r="J38" s="218"/>
      <c r="K38" s="218"/>
      <c r="L38" s="218"/>
      <c r="M38" s="218"/>
      <c r="N38" s="218"/>
      <c r="O38" s="54" t="s">
        <v>781</v>
      </c>
      <c r="R38" s="1"/>
      <c r="S38" s="1"/>
      <c r="T38" s="1"/>
    </row>
    <row r="39" spans="1:20" s="31" customFormat="1" ht="18" x14ac:dyDescent="0.2">
      <c r="A39" s="47"/>
      <c r="B39" s="133" t="s">
        <v>692</v>
      </c>
      <c r="C39" s="134" t="s">
        <v>630</v>
      </c>
      <c r="D39" s="64"/>
      <c r="E39" s="64"/>
      <c r="F39" s="64"/>
      <c r="G39" s="64"/>
      <c r="H39" s="64"/>
      <c r="I39" s="85"/>
      <c r="J39" s="218"/>
      <c r="K39" s="218"/>
      <c r="L39" s="218"/>
      <c r="M39" s="218"/>
      <c r="N39" s="218"/>
      <c r="O39" s="54" t="s">
        <v>781</v>
      </c>
      <c r="R39" s="1"/>
      <c r="S39" s="1"/>
      <c r="T39" s="1"/>
    </row>
    <row r="40" spans="1:20" s="31" customFormat="1" ht="18" x14ac:dyDescent="0.2">
      <c r="A40" s="47"/>
      <c r="B40" s="133" t="s">
        <v>693</v>
      </c>
      <c r="C40" s="134" t="s">
        <v>953</v>
      </c>
      <c r="D40" s="64">
        <v>17</v>
      </c>
      <c r="E40" s="64"/>
      <c r="F40" s="64"/>
      <c r="G40" s="64"/>
      <c r="H40" s="64"/>
      <c r="I40" s="85"/>
      <c r="J40" s="218"/>
      <c r="K40" s="218"/>
      <c r="L40" s="218"/>
      <c r="M40" s="218"/>
      <c r="N40" s="218"/>
      <c r="O40" s="54" t="s">
        <v>781</v>
      </c>
      <c r="R40" s="1"/>
      <c r="S40" s="1"/>
      <c r="T40" s="1"/>
    </row>
    <row r="41" spans="1:20" s="31" customFormat="1" ht="18" x14ac:dyDescent="0.2">
      <c r="A41" s="47"/>
      <c r="B41" s="133" t="s">
        <v>694</v>
      </c>
      <c r="C41" s="134" t="s">
        <v>631</v>
      </c>
      <c r="D41" s="64"/>
      <c r="E41" s="64"/>
      <c r="F41" s="64"/>
      <c r="G41" s="64"/>
      <c r="H41" s="64"/>
      <c r="I41" s="85"/>
      <c r="J41" s="59"/>
      <c r="K41" s="59"/>
      <c r="L41" s="59"/>
      <c r="M41" s="59"/>
      <c r="N41" s="59"/>
      <c r="O41" s="54" t="s">
        <v>781</v>
      </c>
      <c r="R41" s="1"/>
      <c r="S41" s="1"/>
      <c r="T41" s="1"/>
    </row>
    <row r="42" spans="1:20" s="31" customFormat="1" ht="18" x14ac:dyDescent="0.2">
      <c r="A42" s="47"/>
      <c r="B42" s="133" t="s">
        <v>695</v>
      </c>
      <c r="C42" s="134" t="s">
        <v>632</v>
      </c>
      <c r="D42" s="64">
        <v>50118</v>
      </c>
      <c r="E42" s="64">
        <v>50000</v>
      </c>
      <c r="F42" s="64">
        <v>50000</v>
      </c>
      <c r="G42" s="64">
        <v>50000</v>
      </c>
      <c r="H42" s="64">
        <v>50000</v>
      </c>
      <c r="I42" s="85"/>
      <c r="J42" s="337">
        <f>+D42/'Student Info'!D23</f>
        <v>421.15966386554624</v>
      </c>
      <c r="K42" s="337">
        <v>15.5</v>
      </c>
      <c r="L42" s="337">
        <v>15.5</v>
      </c>
      <c r="M42" s="337">
        <v>15.5</v>
      </c>
      <c r="N42" s="337">
        <v>15.5</v>
      </c>
      <c r="O42" s="54"/>
      <c r="R42" s="1"/>
      <c r="S42" s="1"/>
      <c r="T42" s="1"/>
    </row>
    <row r="43" spans="1:20" s="31" customFormat="1" ht="18" x14ac:dyDescent="0.2">
      <c r="A43" s="47"/>
      <c r="B43" s="133" t="s">
        <v>696</v>
      </c>
      <c r="C43" s="134" t="s">
        <v>633</v>
      </c>
      <c r="D43" s="64"/>
      <c r="E43" s="64"/>
      <c r="F43" s="64"/>
      <c r="G43" s="64"/>
      <c r="H43" s="64"/>
      <c r="I43" s="85"/>
      <c r="J43" s="59"/>
      <c r="K43" s="59"/>
      <c r="L43" s="59"/>
      <c r="M43" s="59"/>
      <c r="N43" s="59"/>
      <c r="O43" s="54"/>
      <c r="R43" s="1"/>
      <c r="S43" s="1"/>
      <c r="T43" s="1"/>
    </row>
    <row r="44" spans="1:20" s="31" customFormat="1" ht="18" x14ac:dyDescent="0.2">
      <c r="A44" s="47"/>
      <c r="B44" s="133" t="s">
        <v>954</v>
      </c>
      <c r="C44" s="134" t="s">
        <v>1197</v>
      </c>
      <c r="D44" s="64"/>
      <c r="E44" s="64"/>
      <c r="F44" s="64"/>
      <c r="G44" s="64"/>
      <c r="H44" s="64"/>
      <c r="I44" s="85"/>
      <c r="J44" s="59"/>
      <c r="K44" s="59"/>
      <c r="L44" s="59"/>
      <c r="M44" s="59"/>
      <c r="N44" s="59"/>
      <c r="O44" s="54"/>
      <c r="R44" s="1"/>
      <c r="S44" s="1"/>
      <c r="T44" s="1"/>
    </row>
    <row r="45" spans="1:20" s="31" customFormat="1" ht="18" x14ac:dyDescent="0.2">
      <c r="A45" s="47"/>
      <c r="B45" s="133" t="s">
        <v>955</v>
      </c>
      <c r="C45" s="134" t="s">
        <v>956</v>
      </c>
      <c r="D45" s="64"/>
      <c r="E45" s="64"/>
      <c r="F45" s="64"/>
      <c r="G45" s="64"/>
      <c r="H45" s="64"/>
      <c r="I45" s="85"/>
      <c r="J45" s="59"/>
      <c r="K45" s="59"/>
      <c r="L45" s="59"/>
      <c r="M45" s="59"/>
      <c r="N45" s="59"/>
      <c r="O45" s="54" t="s">
        <v>781</v>
      </c>
      <c r="R45" s="1"/>
      <c r="S45" s="1"/>
      <c r="T45" s="1"/>
    </row>
    <row r="46" spans="1:20" s="31" customFormat="1" ht="18" x14ac:dyDescent="0.2">
      <c r="A46" s="47"/>
      <c r="B46" s="73" t="s">
        <v>798</v>
      </c>
      <c r="C46" s="34"/>
      <c r="D46" s="172">
        <f>SUM(D33:D45)</f>
        <v>51080</v>
      </c>
      <c r="E46" s="172">
        <f>SUM(E33:E45)</f>
        <v>51000</v>
      </c>
      <c r="F46" s="172">
        <f>SUM(F33:F45)</f>
        <v>51000</v>
      </c>
      <c r="G46" s="172">
        <f>SUM(G33:G45)</f>
        <v>51000</v>
      </c>
      <c r="H46" s="172">
        <f>SUM(H33:H45)</f>
        <v>51000</v>
      </c>
      <c r="I46" s="86"/>
      <c r="J46" s="46"/>
      <c r="K46" s="46"/>
      <c r="L46" s="46"/>
      <c r="M46" s="46"/>
      <c r="N46" s="46"/>
      <c r="O46" s="50"/>
      <c r="R46" s="1"/>
      <c r="S46" s="1"/>
      <c r="T46" s="1"/>
    </row>
    <row r="47" spans="1:20" s="31" customFormat="1" ht="9" customHeight="1" thickBot="1" x14ac:dyDescent="0.25">
      <c r="A47" s="47"/>
      <c r="B47" s="72"/>
      <c r="C47" s="50"/>
      <c r="D47" s="298"/>
      <c r="E47" s="298"/>
      <c r="F47" s="298"/>
      <c r="G47" s="298"/>
      <c r="H47" s="298"/>
      <c r="I47" s="68"/>
      <c r="J47" s="68"/>
      <c r="K47" s="68"/>
      <c r="L47" s="68"/>
      <c r="M47" s="68"/>
      <c r="N47" s="68"/>
      <c r="O47" s="50"/>
      <c r="R47" s="1"/>
      <c r="S47" s="1"/>
      <c r="T47" s="1"/>
    </row>
    <row r="48" spans="1:20" ht="19" thickBot="1" x14ac:dyDescent="0.25">
      <c r="A48" s="76" t="s">
        <v>800</v>
      </c>
      <c r="B48" s="77"/>
      <c r="C48" s="77"/>
      <c r="D48" s="279">
        <f>SUM(D19,D30,D46)</f>
        <v>1046328.2004745199</v>
      </c>
      <c r="E48" s="279">
        <f>SUM(E19,E30,E46)</f>
        <v>1066844.64880792</v>
      </c>
      <c r="F48" s="279">
        <f>SUM(F19,F30,F46)</f>
        <v>1121457.93445866</v>
      </c>
      <c r="G48" s="279">
        <f>SUM(G19,G30,G46)</f>
        <v>1128232.9566044875</v>
      </c>
      <c r="H48" s="173">
        <f>SUM(H19,H30,H46)</f>
        <v>1169513.5750339509</v>
      </c>
      <c r="I48" s="84"/>
    </row>
    <row r="49" spans="1:1" x14ac:dyDescent="0.2">
      <c r="A49" s="36"/>
    </row>
    <row r="50" spans="1:1" x14ac:dyDescent="0.2">
      <c r="A50" s="36"/>
    </row>
    <row r="51" spans="1:1" ht="18" x14ac:dyDescent="0.2">
      <c r="A51" s="47"/>
    </row>
    <row r="52" spans="1:1" x14ac:dyDescent="0.2">
      <c r="A52" s="36"/>
    </row>
    <row r="53" spans="1:1" x14ac:dyDescent="0.2">
      <c r="A53" s="36"/>
    </row>
    <row r="54" spans="1:1" x14ac:dyDescent="0.2">
      <c r="A54" s="36"/>
    </row>
    <row r="55" spans="1:1" x14ac:dyDescent="0.2">
      <c r="A55" s="36"/>
    </row>
    <row r="56" spans="1:1" x14ac:dyDescent="0.2">
      <c r="A56" s="36"/>
    </row>
    <row r="57" spans="1:1" x14ac:dyDescent="0.2">
      <c r="A57" s="36"/>
    </row>
    <row r="58" spans="1:1" x14ac:dyDescent="0.2">
      <c r="A58" s="36"/>
    </row>
    <row r="59" spans="1:1" x14ac:dyDescent="0.2">
      <c r="A59" s="36"/>
    </row>
    <row r="60" spans="1:1" x14ac:dyDescent="0.2">
      <c r="A60" s="36"/>
    </row>
    <row r="61" spans="1:1" x14ac:dyDescent="0.2">
      <c r="A61" s="36"/>
    </row>
    <row r="62" spans="1:1" x14ac:dyDescent="0.2">
      <c r="A62" s="36"/>
    </row>
    <row r="63" spans="1:1" x14ac:dyDescent="0.2">
      <c r="A63" s="36"/>
    </row>
    <row r="64" spans="1:1" x14ac:dyDescent="0.2">
      <c r="A64" s="36"/>
    </row>
    <row r="65" spans="1:1" x14ac:dyDescent="0.2">
      <c r="A65" s="36"/>
    </row>
    <row r="66" spans="1:1" x14ac:dyDescent="0.2">
      <c r="A66" s="36"/>
    </row>
    <row r="67" spans="1:1" x14ac:dyDescent="0.2">
      <c r="A67" s="36"/>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sheetData>
  <sortState ref="B12:E19">
    <sortCondition ref="B12:B19"/>
  </sortState>
  <mergeCells count="1">
    <mergeCell ref="J8:N9"/>
  </mergeCells>
  <pageMargins left="0.25" right="0.25" top="0.5" bottom="0.25" header="0.3" footer="0.3"/>
  <pageSetup scale="63" orientation="landscape" r:id="rId1"/>
  <headerFooter alignWithMargins="0">
    <oddHeader>&amp;A</oddHeader>
    <oddFooter>Page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J98"/>
  <sheetViews>
    <sheetView topLeftCell="A40" zoomScale="80" zoomScaleNormal="80" zoomScalePageLayoutView="80" workbookViewId="0">
      <selection activeCell="B51" sqref="B51"/>
    </sheetView>
  </sheetViews>
  <sheetFormatPr baseColWidth="10" defaultColWidth="8.83203125" defaultRowHeight="13" x14ac:dyDescent="0.15"/>
  <cols>
    <col min="1" max="1" width="42.6640625" style="226" customWidth="1"/>
    <col min="2" max="2" width="12.83203125" style="227" bestFit="1" customWidth="1"/>
    <col min="3" max="4" width="11.33203125" style="227" bestFit="1" customWidth="1"/>
    <col min="5" max="5" width="11.83203125" style="227" bestFit="1" customWidth="1"/>
    <col min="6" max="6" width="13.5" style="227" customWidth="1"/>
    <col min="7" max="7" width="12.83203125" style="226" bestFit="1" customWidth="1"/>
    <col min="8" max="9" width="13.83203125" style="226" customWidth="1"/>
    <col min="10" max="10" width="11.6640625" style="226" bestFit="1" customWidth="1"/>
    <col min="11" max="12" width="11.5" style="226" bestFit="1" customWidth="1"/>
    <col min="13" max="256" width="8.83203125" style="226"/>
    <col min="257" max="257" width="42.6640625" style="226" customWidth="1"/>
    <col min="258" max="258" width="12.83203125" style="226" bestFit="1" customWidth="1"/>
    <col min="259" max="260" width="11.33203125" style="226" bestFit="1" customWidth="1"/>
    <col min="261" max="261" width="9.5" style="226" bestFit="1" customWidth="1"/>
    <col min="262" max="262" width="13.5" style="226" customWidth="1"/>
    <col min="263" max="263" width="6.5" style="226" customWidth="1"/>
    <col min="264" max="264" width="37" style="226" customWidth="1"/>
    <col min="265" max="512" width="8.83203125" style="226"/>
    <col min="513" max="513" width="42.6640625" style="226" customWidth="1"/>
    <col min="514" max="514" width="12.83203125" style="226" bestFit="1" customWidth="1"/>
    <col min="515" max="516" width="11.33203125" style="226" bestFit="1" customWidth="1"/>
    <col min="517" max="517" width="9.5" style="226" bestFit="1" customWidth="1"/>
    <col min="518" max="518" width="13.5" style="226" customWidth="1"/>
    <col min="519" max="519" width="6.5" style="226" customWidth="1"/>
    <col min="520" max="520" width="37" style="226" customWidth="1"/>
    <col min="521" max="768" width="8.83203125" style="226"/>
    <col min="769" max="769" width="42.6640625" style="226" customWidth="1"/>
    <col min="770" max="770" width="12.83203125" style="226" bestFit="1" customWidth="1"/>
    <col min="771" max="772" width="11.33203125" style="226" bestFit="1" customWidth="1"/>
    <col min="773" max="773" width="9.5" style="226" bestFit="1" customWidth="1"/>
    <col min="774" max="774" width="13.5" style="226" customWidth="1"/>
    <col min="775" max="775" width="6.5" style="226" customWidth="1"/>
    <col min="776" max="776" width="37" style="226" customWidth="1"/>
    <col min="777" max="1024" width="8.83203125" style="226"/>
    <col min="1025" max="1025" width="42.6640625" style="226" customWidth="1"/>
    <col min="1026" max="1026" width="12.83203125" style="226" bestFit="1" customWidth="1"/>
    <col min="1027" max="1028" width="11.33203125" style="226" bestFit="1" customWidth="1"/>
    <col min="1029" max="1029" width="9.5" style="226" bestFit="1" customWidth="1"/>
    <col min="1030" max="1030" width="13.5" style="226" customWidth="1"/>
    <col min="1031" max="1031" width="6.5" style="226" customWidth="1"/>
    <col min="1032" max="1032" width="37" style="226" customWidth="1"/>
    <col min="1033" max="1280" width="8.83203125" style="226"/>
    <col min="1281" max="1281" width="42.6640625" style="226" customWidth="1"/>
    <col min="1282" max="1282" width="12.83203125" style="226" bestFit="1" customWidth="1"/>
    <col min="1283" max="1284" width="11.33203125" style="226" bestFit="1" customWidth="1"/>
    <col min="1285" max="1285" width="9.5" style="226" bestFit="1" customWidth="1"/>
    <col min="1286" max="1286" width="13.5" style="226" customWidth="1"/>
    <col min="1287" max="1287" width="6.5" style="226" customWidth="1"/>
    <col min="1288" max="1288" width="37" style="226" customWidth="1"/>
    <col min="1289" max="1536" width="8.83203125" style="226"/>
    <col min="1537" max="1537" width="42.6640625" style="226" customWidth="1"/>
    <col min="1538" max="1538" width="12.83203125" style="226" bestFit="1" customWidth="1"/>
    <col min="1539" max="1540" width="11.33203125" style="226" bestFit="1" customWidth="1"/>
    <col min="1541" max="1541" width="9.5" style="226" bestFit="1" customWidth="1"/>
    <col min="1542" max="1542" width="13.5" style="226" customWidth="1"/>
    <col min="1543" max="1543" width="6.5" style="226" customWidth="1"/>
    <col min="1544" max="1544" width="37" style="226" customWidth="1"/>
    <col min="1545" max="1792" width="8.83203125" style="226"/>
    <col min="1793" max="1793" width="42.6640625" style="226" customWidth="1"/>
    <col min="1794" max="1794" width="12.83203125" style="226" bestFit="1" customWidth="1"/>
    <col min="1795" max="1796" width="11.33203125" style="226" bestFit="1" customWidth="1"/>
    <col min="1797" max="1797" width="9.5" style="226" bestFit="1" customWidth="1"/>
    <col min="1798" max="1798" width="13.5" style="226" customWidth="1"/>
    <col min="1799" max="1799" width="6.5" style="226" customWidth="1"/>
    <col min="1800" max="1800" width="37" style="226" customWidth="1"/>
    <col min="1801" max="2048" width="8.83203125" style="226"/>
    <col min="2049" max="2049" width="42.6640625" style="226" customWidth="1"/>
    <col min="2050" max="2050" width="12.83203125" style="226" bestFit="1" customWidth="1"/>
    <col min="2051" max="2052" width="11.33203125" style="226" bestFit="1" customWidth="1"/>
    <col min="2053" max="2053" width="9.5" style="226" bestFit="1" customWidth="1"/>
    <col min="2054" max="2054" width="13.5" style="226" customWidth="1"/>
    <col min="2055" max="2055" width="6.5" style="226" customWidth="1"/>
    <col min="2056" max="2056" width="37" style="226" customWidth="1"/>
    <col min="2057" max="2304" width="8.83203125" style="226"/>
    <col min="2305" max="2305" width="42.6640625" style="226" customWidth="1"/>
    <col min="2306" max="2306" width="12.83203125" style="226" bestFit="1" customWidth="1"/>
    <col min="2307" max="2308" width="11.33203125" style="226" bestFit="1" customWidth="1"/>
    <col min="2309" max="2309" width="9.5" style="226" bestFit="1" customWidth="1"/>
    <col min="2310" max="2310" width="13.5" style="226" customWidth="1"/>
    <col min="2311" max="2311" width="6.5" style="226" customWidth="1"/>
    <col min="2312" max="2312" width="37" style="226" customWidth="1"/>
    <col min="2313" max="2560" width="8.83203125" style="226"/>
    <col min="2561" max="2561" width="42.6640625" style="226" customWidth="1"/>
    <col min="2562" max="2562" width="12.83203125" style="226" bestFit="1" customWidth="1"/>
    <col min="2563" max="2564" width="11.33203125" style="226" bestFit="1" customWidth="1"/>
    <col min="2565" max="2565" width="9.5" style="226" bestFit="1" customWidth="1"/>
    <col min="2566" max="2566" width="13.5" style="226" customWidth="1"/>
    <col min="2567" max="2567" width="6.5" style="226" customWidth="1"/>
    <col min="2568" max="2568" width="37" style="226" customWidth="1"/>
    <col min="2569" max="2816" width="8.83203125" style="226"/>
    <col min="2817" max="2817" width="42.6640625" style="226" customWidth="1"/>
    <col min="2818" max="2818" width="12.83203125" style="226" bestFit="1" customWidth="1"/>
    <col min="2819" max="2820" width="11.33203125" style="226" bestFit="1" customWidth="1"/>
    <col min="2821" max="2821" width="9.5" style="226" bestFit="1" customWidth="1"/>
    <col min="2822" max="2822" width="13.5" style="226" customWidth="1"/>
    <col min="2823" max="2823" width="6.5" style="226" customWidth="1"/>
    <col min="2824" max="2824" width="37" style="226" customWidth="1"/>
    <col min="2825" max="3072" width="8.83203125" style="226"/>
    <col min="3073" max="3073" width="42.6640625" style="226" customWidth="1"/>
    <col min="3074" max="3074" width="12.83203125" style="226" bestFit="1" customWidth="1"/>
    <col min="3075" max="3076" width="11.33203125" style="226" bestFit="1" customWidth="1"/>
    <col min="3077" max="3077" width="9.5" style="226" bestFit="1" customWidth="1"/>
    <col min="3078" max="3078" width="13.5" style="226" customWidth="1"/>
    <col min="3079" max="3079" width="6.5" style="226" customWidth="1"/>
    <col min="3080" max="3080" width="37" style="226" customWidth="1"/>
    <col min="3081" max="3328" width="8.83203125" style="226"/>
    <col min="3329" max="3329" width="42.6640625" style="226" customWidth="1"/>
    <col min="3330" max="3330" width="12.83203125" style="226" bestFit="1" customWidth="1"/>
    <col min="3331" max="3332" width="11.33203125" style="226" bestFit="1" customWidth="1"/>
    <col min="3333" max="3333" width="9.5" style="226" bestFit="1" customWidth="1"/>
    <col min="3334" max="3334" width="13.5" style="226" customWidth="1"/>
    <col min="3335" max="3335" width="6.5" style="226" customWidth="1"/>
    <col min="3336" max="3336" width="37" style="226" customWidth="1"/>
    <col min="3337" max="3584" width="8.83203125" style="226"/>
    <col min="3585" max="3585" width="42.6640625" style="226" customWidth="1"/>
    <col min="3586" max="3586" width="12.83203125" style="226" bestFit="1" customWidth="1"/>
    <col min="3587" max="3588" width="11.33203125" style="226" bestFit="1" customWidth="1"/>
    <col min="3589" max="3589" width="9.5" style="226" bestFit="1" customWidth="1"/>
    <col min="3590" max="3590" width="13.5" style="226" customWidth="1"/>
    <col min="3591" max="3591" width="6.5" style="226" customWidth="1"/>
    <col min="3592" max="3592" width="37" style="226" customWidth="1"/>
    <col min="3593" max="3840" width="8.83203125" style="226"/>
    <col min="3841" max="3841" width="42.6640625" style="226" customWidth="1"/>
    <col min="3842" max="3842" width="12.83203125" style="226" bestFit="1" customWidth="1"/>
    <col min="3843" max="3844" width="11.33203125" style="226" bestFit="1" customWidth="1"/>
    <col min="3845" max="3845" width="9.5" style="226" bestFit="1" customWidth="1"/>
    <col min="3846" max="3846" width="13.5" style="226" customWidth="1"/>
    <col min="3847" max="3847" width="6.5" style="226" customWidth="1"/>
    <col min="3848" max="3848" width="37" style="226" customWidth="1"/>
    <col min="3849" max="4096" width="8.83203125" style="226"/>
    <col min="4097" max="4097" width="42.6640625" style="226" customWidth="1"/>
    <col min="4098" max="4098" width="12.83203125" style="226" bestFit="1" customWidth="1"/>
    <col min="4099" max="4100" width="11.33203125" style="226" bestFit="1" customWidth="1"/>
    <col min="4101" max="4101" width="9.5" style="226" bestFit="1" customWidth="1"/>
    <col min="4102" max="4102" width="13.5" style="226" customWidth="1"/>
    <col min="4103" max="4103" width="6.5" style="226" customWidth="1"/>
    <col min="4104" max="4104" width="37" style="226" customWidth="1"/>
    <col min="4105" max="4352" width="8.83203125" style="226"/>
    <col min="4353" max="4353" width="42.6640625" style="226" customWidth="1"/>
    <col min="4354" max="4354" width="12.83203125" style="226" bestFit="1" customWidth="1"/>
    <col min="4355" max="4356" width="11.33203125" style="226" bestFit="1" customWidth="1"/>
    <col min="4357" max="4357" width="9.5" style="226" bestFit="1" customWidth="1"/>
    <col min="4358" max="4358" width="13.5" style="226" customWidth="1"/>
    <col min="4359" max="4359" width="6.5" style="226" customWidth="1"/>
    <col min="4360" max="4360" width="37" style="226" customWidth="1"/>
    <col min="4361" max="4608" width="8.83203125" style="226"/>
    <col min="4609" max="4609" width="42.6640625" style="226" customWidth="1"/>
    <col min="4610" max="4610" width="12.83203125" style="226" bestFit="1" customWidth="1"/>
    <col min="4611" max="4612" width="11.33203125" style="226" bestFit="1" customWidth="1"/>
    <col min="4613" max="4613" width="9.5" style="226" bestFit="1" customWidth="1"/>
    <col min="4614" max="4614" width="13.5" style="226" customWidth="1"/>
    <col min="4615" max="4615" width="6.5" style="226" customWidth="1"/>
    <col min="4616" max="4616" width="37" style="226" customWidth="1"/>
    <col min="4617" max="4864" width="8.83203125" style="226"/>
    <col min="4865" max="4865" width="42.6640625" style="226" customWidth="1"/>
    <col min="4866" max="4866" width="12.83203125" style="226" bestFit="1" customWidth="1"/>
    <col min="4867" max="4868" width="11.33203125" style="226" bestFit="1" customWidth="1"/>
    <col min="4869" max="4869" width="9.5" style="226" bestFit="1" customWidth="1"/>
    <col min="4870" max="4870" width="13.5" style="226" customWidth="1"/>
    <col min="4871" max="4871" width="6.5" style="226" customWidth="1"/>
    <col min="4872" max="4872" width="37" style="226" customWidth="1"/>
    <col min="4873" max="5120" width="8.83203125" style="226"/>
    <col min="5121" max="5121" width="42.6640625" style="226" customWidth="1"/>
    <col min="5122" max="5122" width="12.83203125" style="226" bestFit="1" customWidth="1"/>
    <col min="5123" max="5124" width="11.33203125" style="226" bestFit="1" customWidth="1"/>
    <col min="5125" max="5125" width="9.5" style="226" bestFit="1" customWidth="1"/>
    <col min="5126" max="5126" width="13.5" style="226" customWidth="1"/>
    <col min="5127" max="5127" width="6.5" style="226" customWidth="1"/>
    <col min="5128" max="5128" width="37" style="226" customWidth="1"/>
    <col min="5129" max="5376" width="8.83203125" style="226"/>
    <col min="5377" max="5377" width="42.6640625" style="226" customWidth="1"/>
    <col min="5378" max="5378" width="12.83203125" style="226" bestFit="1" customWidth="1"/>
    <col min="5379" max="5380" width="11.33203125" style="226" bestFit="1" customWidth="1"/>
    <col min="5381" max="5381" width="9.5" style="226" bestFit="1" customWidth="1"/>
    <col min="5382" max="5382" width="13.5" style="226" customWidth="1"/>
    <col min="5383" max="5383" width="6.5" style="226" customWidth="1"/>
    <col min="5384" max="5384" width="37" style="226" customWidth="1"/>
    <col min="5385" max="5632" width="8.83203125" style="226"/>
    <col min="5633" max="5633" width="42.6640625" style="226" customWidth="1"/>
    <col min="5634" max="5634" width="12.83203125" style="226" bestFit="1" customWidth="1"/>
    <col min="5635" max="5636" width="11.33203125" style="226" bestFit="1" customWidth="1"/>
    <col min="5637" max="5637" width="9.5" style="226" bestFit="1" customWidth="1"/>
    <col min="5638" max="5638" width="13.5" style="226" customWidth="1"/>
    <col min="5639" max="5639" width="6.5" style="226" customWidth="1"/>
    <col min="5640" max="5640" width="37" style="226" customWidth="1"/>
    <col min="5641" max="5888" width="8.83203125" style="226"/>
    <col min="5889" max="5889" width="42.6640625" style="226" customWidth="1"/>
    <col min="5890" max="5890" width="12.83203125" style="226" bestFit="1" customWidth="1"/>
    <col min="5891" max="5892" width="11.33203125" style="226" bestFit="1" customWidth="1"/>
    <col min="5893" max="5893" width="9.5" style="226" bestFit="1" customWidth="1"/>
    <col min="5894" max="5894" width="13.5" style="226" customWidth="1"/>
    <col min="5895" max="5895" width="6.5" style="226" customWidth="1"/>
    <col min="5896" max="5896" width="37" style="226" customWidth="1"/>
    <col min="5897" max="6144" width="8.83203125" style="226"/>
    <col min="6145" max="6145" width="42.6640625" style="226" customWidth="1"/>
    <col min="6146" max="6146" width="12.83203125" style="226" bestFit="1" customWidth="1"/>
    <col min="6147" max="6148" width="11.33203125" style="226" bestFit="1" customWidth="1"/>
    <col min="6149" max="6149" width="9.5" style="226" bestFit="1" customWidth="1"/>
    <col min="6150" max="6150" width="13.5" style="226" customWidth="1"/>
    <col min="6151" max="6151" width="6.5" style="226" customWidth="1"/>
    <col min="6152" max="6152" width="37" style="226" customWidth="1"/>
    <col min="6153" max="6400" width="8.83203125" style="226"/>
    <col min="6401" max="6401" width="42.6640625" style="226" customWidth="1"/>
    <col min="6402" max="6402" width="12.83203125" style="226" bestFit="1" customWidth="1"/>
    <col min="6403" max="6404" width="11.33203125" style="226" bestFit="1" customWidth="1"/>
    <col min="6405" max="6405" width="9.5" style="226" bestFit="1" customWidth="1"/>
    <col min="6406" max="6406" width="13.5" style="226" customWidth="1"/>
    <col min="6407" max="6407" width="6.5" style="226" customWidth="1"/>
    <col min="6408" max="6408" width="37" style="226" customWidth="1"/>
    <col min="6409" max="6656" width="8.83203125" style="226"/>
    <col min="6657" max="6657" width="42.6640625" style="226" customWidth="1"/>
    <col min="6658" max="6658" width="12.83203125" style="226" bestFit="1" customWidth="1"/>
    <col min="6659" max="6660" width="11.33203125" style="226" bestFit="1" customWidth="1"/>
    <col min="6661" max="6661" width="9.5" style="226" bestFit="1" customWidth="1"/>
    <col min="6662" max="6662" width="13.5" style="226" customWidth="1"/>
    <col min="6663" max="6663" width="6.5" style="226" customWidth="1"/>
    <col min="6664" max="6664" width="37" style="226" customWidth="1"/>
    <col min="6665" max="6912" width="8.83203125" style="226"/>
    <col min="6913" max="6913" width="42.6640625" style="226" customWidth="1"/>
    <col min="6914" max="6914" width="12.83203125" style="226" bestFit="1" customWidth="1"/>
    <col min="6915" max="6916" width="11.33203125" style="226" bestFit="1" customWidth="1"/>
    <col min="6917" max="6917" width="9.5" style="226" bestFit="1" customWidth="1"/>
    <col min="6918" max="6918" width="13.5" style="226" customWidth="1"/>
    <col min="6919" max="6919" width="6.5" style="226" customWidth="1"/>
    <col min="6920" max="6920" width="37" style="226" customWidth="1"/>
    <col min="6921" max="7168" width="8.83203125" style="226"/>
    <col min="7169" max="7169" width="42.6640625" style="226" customWidth="1"/>
    <col min="7170" max="7170" width="12.83203125" style="226" bestFit="1" customWidth="1"/>
    <col min="7171" max="7172" width="11.33203125" style="226" bestFit="1" customWidth="1"/>
    <col min="7173" max="7173" width="9.5" style="226" bestFit="1" customWidth="1"/>
    <col min="7174" max="7174" width="13.5" style="226" customWidth="1"/>
    <col min="7175" max="7175" width="6.5" style="226" customWidth="1"/>
    <col min="7176" max="7176" width="37" style="226" customWidth="1"/>
    <col min="7177" max="7424" width="8.83203125" style="226"/>
    <col min="7425" max="7425" width="42.6640625" style="226" customWidth="1"/>
    <col min="7426" max="7426" width="12.83203125" style="226" bestFit="1" customWidth="1"/>
    <col min="7427" max="7428" width="11.33203125" style="226" bestFit="1" customWidth="1"/>
    <col min="7429" max="7429" width="9.5" style="226" bestFit="1" customWidth="1"/>
    <col min="7430" max="7430" width="13.5" style="226" customWidth="1"/>
    <col min="7431" max="7431" width="6.5" style="226" customWidth="1"/>
    <col min="7432" max="7432" width="37" style="226" customWidth="1"/>
    <col min="7433" max="7680" width="8.83203125" style="226"/>
    <col min="7681" max="7681" width="42.6640625" style="226" customWidth="1"/>
    <col min="7682" max="7682" width="12.83203125" style="226" bestFit="1" customWidth="1"/>
    <col min="7683" max="7684" width="11.33203125" style="226" bestFit="1" customWidth="1"/>
    <col min="7685" max="7685" width="9.5" style="226" bestFit="1" customWidth="1"/>
    <col min="7686" max="7686" width="13.5" style="226" customWidth="1"/>
    <col min="7687" max="7687" width="6.5" style="226" customWidth="1"/>
    <col min="7688" max="7688" width="37" style="226" customWidth="1"/>
    <col min="7689" max="7936" width="8.83203125" style="226"/>
    <col min="7937" max="7937" width="42.6640625" style="226" customWidth="1"/>
    <col min="7938" max="7938" width="12.83203125" style="226" bestFit="1" customWidth="1"/>
    <col min="7939" max="7940" width="11.33203125" style="226" bestFit="1" customWidth="1"/>
    <col min="7941" max="7941" width="9.5" style="226" bestFit="1" customWidth="1"/>
    <col min="7942" max="7942" width="13.5" style="226" customWidth="1"/>
    <col min="7943" max="7943" width="6.5" style="226" customWidth="1"/>
    <col min="7944" max="7944" width="37" style="226" customWidth="1"/>
    <col min="7945" max="8192" width="8.83203125" style="226"/>
    <col min="8193" max="8193" width="42.6640625" style="226" customWidth="1"/>
    <col min="8194" max="8194" width="12.83203125" style="226" bestFit="1" customWidth="1"/>
    <col min="8195" max="8196" width="11.33203125" style="226" bestFit="1" customWidth="1"/>
    <col min="8197" max="8197" width="9.5" style="226" bestFit="1" customWidth="1"/>
    <col min="8198" max="8198" width="13.5" style="226" customWidth="1"/>
    <col min="8199" max="8199" width="6.5" style="226" customWidth="1"/>
    <col min="8200" max="8200" width="37" style="226" customWidth="1"/>
    <col min="8201" max="8448" width="8.83203125" style="226"/>
    <col min="8449" max="8449" width="42.6640625" style="226" customWidth="1"/>
    <col min="8450" max="8450" width="12.83203125" style="226" bestFit="1" customWidth="1"/>
    <col min="8451" max="8452" width="11.33203125" style="226" bestFit="1" customWidth="1"/>
    <col min="8453" max="8453" width="9.5" style="226" bestFit="1" customWidth="1"/>
    <col min="8454" max="8454" width="13.5" style="226" customWidth="1"/>
    <col min="8455" max="8455" width="6.5" style="226" customWidth="1"/>
    <col min="8456" max="8456" width="37" style="226" customWidth="1"/>
    <col min="8457" max="8704" width="8.83203125" style="226"/>
    <col min="8705" max="8705" width="42.6640625" style="226" customWidth="1"/>
    <col min="8706" max="8706" width="12.83203125" style="226" bestFit="1" customWidth="1"/>
    <col min="8707" max="8708" width="11.33203125" style="226" bestFit="1" customWidth="1"/>
    <col min="8709" max="8709" width="9.5" style="226" bestFit="1" customWidth="1"/>
    <col min="8710" max="8710" width="13.5" style="226" customWidth="1"/>
    <col min="8711" max="8711" width="6.5" style="226" customWidth="1"/>
    <col min="8712" max="8712" width="37" style="226" customWidth="1"/>
    <col min="8713" max="8960" width="8.83203125" style="226"/>
    <col min="8961" max="8961" width="42.6640625" style="226" customWidth="1"/>
    <col min="8962" max="8962" width="12.83203125" style="226" bestFit="1" customWidth="1"/>
    <col min="8963" max="8964" width="11.33203125" style="226" bestFit="1" customWidth="1"/>
    <col min="8965" max="8965" width="9.5" style="226" bestFit="1" customWidth="1"/>
    <col min="8966" max="8966" width="13.5" style="226" customWidth="1"/>
    <col min="8967" max="8967" width="6.5" style="226" customWidth="1"/>
    <col min="8968" max="8968" width="37" style="226" customWidth="1"/>
    <col min="8969" max="9216" width="8.83203125" style="226"/>
    <col min="9217" max="9217" width="42.6640625" style="226" customWidth="1"/>
    <col min="9218" max="9218" width="12.83203125" style="226" bestFit="1" customWidth="1"/>
    <col min="9219" max="9220" width="11.33203125" style="226" bestFit="1" customWidth="1"/>
    <col min="9221" max="9221" width="9.5" style="226" bestFit="1" customWidth="1"/>
    <col min="9222" max="9222" width="13.5" style="226" customWidth="1"/>
    <col min="9223" max="9223" width="6.5" style="226" customWidth="1"/>
    <col min="9224" max="9224" width="37" style="226" customWidth="1"/>
    <col min="9225" max="9472" width="8.83203125" style="226"/>
    <col min="9473" max="9473" width="42.6640625" style="226" customWidth="1"/>
    <col min="9474" max="9474" width="12.83203125" style="226" bestFit="1" customWidth="1"/>
    <col min="9475" max="9476" width="11.33203125" style="226" bestFit="1" customWidth="1"/>
    <col min="9477" max="9477" width="9.5" style="226" bestFit="1" customWidth="1"/>
    <col min="9478" max="9478" width="13.5" style="226" customWidth="1"/>
    <col min="9479" max="9479" width="6.5" style="226" customWidth="1"/>
    <col min="9480" max="9480" width="37" style="226" customWidth="1"/>
    <col min="9481" max="9728" width="8.83203125" style="226"/>
    <col min="9729" max="9729" width="42.6640625" style="226" customWidth="1"/>
    <col min="9730" max="9730" width="12.83203125" style="226" bestFit="1" customWidth="1"/>
    <col min="9731" max="9732" width="11.33203125" style="226" bestFit="1" customWidth="1"/>
    <col min="9733" max="9733" width="9.5" style="226" bestFit="1" customWidth="1"/>
    <col min="9734" max="9734" width="13.5" style="226" customWidth="1"/>
    <col min="9735" max="9735" width="6.5" style="226" customWidth="1"/>
    <col min="9736" max="9736" width="37" style="226" customWidth="1"/>
    <col min="9737" max="9984" width="8.83203125" style="226"/>
    <col min="9985" max="9985" width="42.6640625" style="226" customWidth="1"/>
    <col min="9986" max="9986" width="12.83203125" style="226" bestFit="1" customWidth="1"/>
    <col min="9987" max="9988" width="11.33203125" style="226" bestFit="1" customWidth="1"/>
    <col min="9989" max="9989" width="9.5" style="226" bestFit="1" customWidth="1"/>
    <col min="9990" max="9990" width="13.5" style="226" customWidth="1"/>
    <col min="9991" max="9991" width="6.5" style="226" customWidth="1"/>
    <col min="9992" max="9992" width="37" style="226" customWidth="1"/>
    <col min="9993" max="10240" width="8.83203125" style="226"/>
    <col min="10241" max="10241" width="42.6640625" style="226" customWidth="1"/>
    <col min="10242" max="10242" width="12.83203125" style="226" bestFit="1" customWidth="1"/>
    <col min="10243" max="10244" width="11.33203125" style="226" bestFit="1" customWidth="1"/>
    <col min="10245" max="10245" width="9.5" style="226" bestFit="1" customWidth="1"/>
    <col min="10246" max="10246" width="13.5" style="226" customWidth="1"/>
    <col min="10247" max="10247" width="6.5" style="226" customWidth="1"/>
    <col min="10248" max="10248" width="37" style="226" customWidth="1"/>
    <col min="10249" max="10496" width="8.83203125" style="226"/>
    <col min="10497" max="10497" width="42.6640625" style="226" customWidth="1"/>
    <col min="10498" max="10498" width="12.83203125" style="226" bestFit="1" customWidth="1"/>
    <col min="10499" max="10500" width="11.33203125" style="226" bestFit="1" customWidth="1"/>
    <col min="10501" max="10501" width="9.5" style="226" bestFit="1" customWidth="1"/>
    <col min="10502" max="10502" width="13.5" style="226" customWidth="1"/>
    <col min="10503" max="10503" width="6.5" style="226" customWidth="1"/>
    <col min="10504" max="10504" width="37" style="226" customWidth="1"/>
    <col min="10505" max="10752" width="8.83203125" style="226"/>
    <col min="10753" max="10753" width="42.6640625" style="226" customWidth="1"/>
    <col min="10754" max="10754" width="12.83203125" style="226" bestFit="1" customWidth="1"/>
    <col min="10755" max="10756" width="11.33203125" style="226" bestFit="1" customWidth="1"/>
    <col min="10757" max="10757" width="9.5" style="226" bestFit="1" customWidth="1"/>
    <col min="10758" max="10758" width="13.5" style="226" customWidth="1"/>
    <col min="10759" max="10759" width="6.5" style="226" customWidth="1"/>
    <col min="10760" max="10760" width="37" style="226" customWidth="1"/>
    <col min="10761" max="11008" width="8.83203125" style="226"/>
    <col min="11009" max="11009" width="42.6640625" style="226" customWidth="1"/>
    <col min="11010" max="11010" width="12.83203125" style="226" bestFit="1" customWidth="1"/>
    <col min="11011" max="11012" width="11.33203125" style="226" bestFit="1" customWidth="1"/>
    <col min="11013" max="11013" width="9.5" style="226" bestFit="1" customWidth="1"/>
    <col min="11014" max="11014" width="13.5" style="226" customWidth="1"/>
    <col min="11015" max="11015" width="6.5" style="226" customWidth="1"/>
    <col min="11016" max="11016" width="37" style="226" customWidth="1"/>
    <col min="11017" max="11264" width="8.83203125" style="226"/>
    <col min="11265" max="11265" width="42.6640625" style="226" customWidth="1"/>
    <col min="11266" max="11266" width="12.83203125" style="226" bestFit="1" customWidth="1"/>
    <col min="11267" max="11268" width="11.33203125" style="226" bestFit="1" customWidth="1"/>
    <col min="11269" max="11269" width="9.5" style="226" bestFit="1" customWidth="1"/>
    <col min="11270" max="11270" width="13.5" style="226" customWidth="1"/>
    <col min="11271" max="11271" width="6.5" style="226" customWidth="1"/>
    <col min="11272" max="11272" width="37" style="226" customWidth="1"/>
    <col min="11273" max="11520" width="8.83203125" style="226"/>
    <col min="11521" max="11521" width="42.6640625" style="226" customWidth="1"/>
    <col min="11522" max="11522" width="12.83203125" style="226" bestFit="1" customWidth="1"/>
    <col min="11523" max="11524" width="11.33203125" style="226" bestFit="1" customWidth="1"/>
    <col min="11525" max="11525" width="9.5" style="226" bestFit="1" customWidth="1"/>
    <col min="11526" max="11526" width="13.5" style="226" customWidth="1"/>
    <col min="11527" max="11527" width="6.5" style="226" customWidth="1"/>
    <col min="11528" max="11528" width="37" style="226" customWidth="1"/>
    <col min="11529" max="11776" width="8.83203125" style="226"/>
    <col min="11777" max="11777" width="42.6640625" style="226" customWidth="1"/>
    <col min="11778" max="11778" width="12.83203125" style="226" bestFit="1" customWidth="1"/>
    <col min="11779" max="11780" width="11.33203125" style="226" bestFit="1" customWidth="1"/>
    <col min="11781" max="11781" width="9.5" style="226" bestFit="1" customWidth="1"/>
    <col min="11782" max="11782" width="13.5" style="226" customWidth="1"/>
    <col min="11783" max="11783" width="6.5" style="226" customWidth="1"/>
    <col min="11784" max="11784" width="37" style="226" customWidth="1"/>
    <col min="11785" max="12032" width="8.83203125" style="226"/>
    <col min="12033" max="12033" width="42.6640625" style="226" customWidth="1"/>
    <col min="12034" max="12034" width="12.83203125" style="226" bestFit="1" customWidth="1"/>
    <col min="12035" max="12036" width="11.33203125" style="226" bestFit="1" customWidth="1"/>
    <col min="12037" max="12037" width="9.5" style="226" bestFit="1" customWidth="1"/>
    <col min="12038" max="12038" width="13.5" style="226" customWidth="1"/>
    <col min="12039" max="12039" width="6.5" style="226" customWidth="1"/>
    <col min="12040" max="12040" width="37" style="226" customWidth="1"/>
    <col min="12041" max="12288" width="8.83203125" style="226"/>
    <col min="12289" max="12289" width="42.6640625" style="226" customWidth="1"/>
    <col min="12290" max="12290" width="12.83203125" style="226" bestFit="1" customWidth="1"/>
    <col min="12291" max="12292" width="11.33203125" style="226" bestFit="1" customWidth="1"/>
    <col min="12293" max="12293" width="9.5" style="226" bestFit="1" customWidth="1"/>
    <col min="12294" max="12294" width="13.5" style="226" customWidth="1"/>
    <col min="12295" max="12295" width="6.5" style="226" customWidth="1"/>
    <col min="12296" max="12296" width="37" style="226" customWidth="1"/>
    <col min="12297" max="12544" width="8.83203125" style="226"/>
    <col min="12545" max="12545" width="42.6640625" style="226" customWidth="1"/>
    <col min="12546" max="12546" width="12.83203125" style="226" bestFit="1" customWidth="1"/>
    <col min="12547" max="12548" width="11.33203125" style="226" bestFit="1" customWidth="1"/>
    <col min="12549" max="12549" width="9.5" style="226" bestFit="1" customWidth="1"/>
    <col min="12550" max="12550" width="13.5" style="226" customWidth="1"/>
    <col min="12551" max="12551" width="6.5" style="226" customWidth="1"/>
    <col min="12552" max="12552" width="37" style="226" customWidth="1"/>
    <col min="12553" max="12800" width="8.83203125" style="226"/>
    <col min="12801" max="12801" width="42.6640625" style="226" customWidth="1"/>
    <col min="12802" max="12802" width="12.83203125" style="226" bestFit="1" customWidth="1"/>
    <col min="12803" max="12804" width="11.33203125" style="226" bestFit="1" customWidth="1"/>
    <col min="12805" max="12805" width="9.5" style="226" bestFit="1" customWidth="1"/>
    <col min="12806" max="12806" width="13.5" style="226" customWidth="1"/>
    <col min="12807" max="12807" width="6.5" style="226" customWidth="1"/>
    <col min="12808" max="12808" width="37" style="226" customWidth="1"/>
    <col min="12809" max="13056" width="8.83203125" style="226"/>
    <col min="13057" max="13057" width="42.6640625" style="226" customWidth="1"/>
    <col min="13058" max="13058" width="12.83203125" style="226" bestFit="1" customWidth="1"/>
    <col min="13059" max="13060" width="11.33203125" style="226" bestFit="1" customWidth="1"/>
    <col min="13061" max="13061" width="9.5" style="226" bestFit="1" customWidth="1"/>
    <col min="13062" max="13062" width="13.5" style="226" customWidth="1"/>
    <col min="13063" max="13063" width="6.5" style="226" customWidth="1"/>
    <col min="13064" max="13064" width="37" style="226" customWidth="1"/>
    <col min="13065" max="13312" width="8.83203125" style="226"/>
    <col min="13313" max="13313" width="42.6640625" style="226" customWidth="1"/>
    <col min="13314" max="13314" width="12.83203125" style="226" bestFit="1" customWidth="1"/>
    <col min="13315" max="13316" width="11.33203125" style="226" bestFit="1" customWidth="1"/>
    <col min="13317" max="13317" width="9.5" style="226" bestFit="1" customWidth="1"/>
    <col min="13318" max="13318" width="13.5" style="226" customWidth="1"/>
    <col min="13319" max="13319" width="6.5" style="226" customWidth="1"/>
    <col min="13320" max="13320" width="37" style="226" customWidth="1"/>
    <col min="13321" max="13568" width="8.83203125" style="226"/>
    <col min="13569" max="13569" width="42.6640625" style="226" customWidth="1"/>
    <col min="13570" max="13570" width="12.83203125" style="226" bestFit="1" customWidth="1"/>
    <col min="13571" max="13572" width="11.33203125" style="226" bestFit="1" customWidth="1"/>
    <col min="13573" max="13573" width="9.5" style="226" bestFit="1" customWidth="1"/>
    <col min="13574" max="13574" width="13.5" style="226" customWidth="1"/>
    <col min="13575" max="13575" width="6.5" style="226" customWidth="1"/>
    <col min="13576" max="13576" width="37" style="226" customWidth="1"/>
    <col min="13577" max="13824" width="8.83203125" style="226"/>
    <col min="13825" max="13825" width="42.6640625" style="226" customWidth="1"/>
    <col min="13826" max="13826" width="12.83203125" style="226" bestFit="1" customWidth="1"/>
    <col min="13827" max="13828" width="11.33203125" style="226" bestFit="1" customWidth="1"/>
    <col min="13829" max="13829" width="9.5" style="226" bestFit="1" customWidth="1"/>
    <col min="13830" max="13830" width="13.5" style="226" customWidth="1"/>
    <col min="13831" max="13831" width="6.5" style="226" customWidth="1"/>
    <col min="13832" max="13832" width="37" style="226" customWidth="1"/>
    <col min="13833" max="14080" width="8.83203125" style="226"/>
    <col min="14081" max="14081" width="42.6640625" style="226" customWidth="1"/>
    <col min="14082" max="14082" width="12.83203125" style="226" bestFit="1" customWidth="1"/>
    <col min="14083" max="14084" width="11.33203125" style="226" bestFit="1" customWidth="1"/>
    <col min="14085" max="14085" width="9.5" style="226" bestFit="1" customWidth="1"/>
    <col min="14086" max="14086" width="13.5" style="226" customWidth="1"/>
    <col min="14087" max="14087" width="6.5" style="226" customWidth="1"/>
    <col min="14088" max="14088" width="37" style="226" customWidth="1"/>
    <col min="14089" max="14336" width="8.83203125" style="226"/>
    <col min="14337" max="14337" width="42.6640625" style="226" customWidth="1"/>
    <col min="14338" max="14338" width="12.83203125" style="226" bestFit="1" customWidth="1"/>
    <col min="14339" max="14340" width="11.33203125" style="226" bestFit="1" customWidth="1"/>
    <col min="14341" max="14341" width="9.5" style="226" bestFit="1" customWidth="1"/>
    <col min="14342" max="14342" width="13.5" style="226" customWidth="1"/>
    <col min="14343" max="14343" width="6.5" style="226" customWidth="1"/>
    <col min="14344" max="14344" width="37" style="226" customWidth="1"/>
    <col min="14345" max="14592" width="8.83203125" style="226"/>
    <col min="14593" max="14593" width="42.6640625" style="226" customWidth="1"/>
    <col min="14594" max="14594" width="12.83203125" style="226" bestFit="1" customWidth="1"/>
    <col min="14595" max="14596" width="11.33203125" style="226" bestFit="1" customWidth="1"/>
    <col min="14597" max="14597" width="9.5" style="226" bestFit="1" customWidth="1"/>
    <col min="14598" max="14598" width="13.5" style="226" customWidth="1"/>
    <col min="14599" max="14599" width="6.5" style="226" customWidth="1"/>
    <col min="14600" max="14600" width="37" style="226" customWidth="1"/>
    <col min="14601" max="14848" width="8.83203125" style="226"/>
    <col min="14849" max="14849" width="42.6640625" style="226" customWidth="1"/>
    <col min="14850" max="14850" width="12.83203125" style="226" bestFit="1" customWidth="1"/>
    <col min="14851" max="14852" width="11.33203125" style="226" bestFit="1" customWidth="1"/>
    <col min="14853" max="14853" width="9.5" style="226" bestFit="1" customWidth="1"/>
    <col min="14854" max="14854" width="13.5" style="226" customWidth="1"/>
    <col min="14855" max="14855" width="6.5" style="226" customWidth="1"/>
    <col min="14856" max="14856" width="37" style="226" customWidth="1"/>
    <col min="14857" max="15104" width="8.83203125" style="226"/>
    <col min="15105" max="15105" width="42.6640625" style="226" customWidth="1"/>
    <col min="15106" max="15106" width="12.83203125" style="226" bestFit="1" customWidth="1"/>
    <col min="15107" max="15108" width="11.33203125" style="226" bestFit="1" customWidth="1"/>
    <col min="15109" max="15109" width="9.5" style="226" bestFit="1" customWidth="1"/>
    <col min="15110" max="15110" width="13.5" style="226" customWidth="1"/>
    <col min="15111" max="15111" width="6.5" style="226" customWidth="1"/>
    <col min="15112" max="15112" width="37" style="226" customWidth="1"/>
    <col min="15113" max="15360" width="8.83203125" style="226"/>
    <col min="15361" max="15361" width="42.6640625" style="226" customWidth="1"/>
    <col min="15362" max="15362" width="12.83203125" style="226" bestFit="1" customWidth="1"/>
    <col min="15363" max="15364" width="11.33203125" style="226" bestFit="1" customWidth="1"/>
    <col min="15365" max="15365" width="9.5" style="226" bestFit="1" customWidth="1"/>
    <col min="15366" max="15366" width="13.5" style="226" customWidth="1"/>
    <col min="15367" max="15367" width="6.5" style="226" customWidth="1"/>
    <col min="15368" max="15368" width="37" style="226" customWidth="1"/>
    <col min="15369" max="15616" width="8.83203125" style="226"/>
    <col min="15617" max="15617" width="42.6640625" style="226" customWidth="1"/>
    <col min="15618" max="15618" width="12.83203125" style="226" bestFit="1" customWidth="1"/>
    <col min="15619" max="15620" width="11.33203125" style="226" bestFit="1" customWidth="1"/>
    <col min="15621" max="15621" width="9.5" style="226" bestFit="1" customWidth="1"/>
    <col min="15622" max="15622" width="13.5" style="226" customWidth="1"/>
    <col min="15623" max="15623" width="6.5" style="226" customWidth="1"/>
    <col min="15624" max="15624" width="37" style="226" customWidth="1"/>
    <col min="15625" max="15872" width="8.83203125" style="226"/>
    <col min="15873" max="15873" width="42.6640625" style="226" customWidth="1"/>
    <col min="15874" max="15874" width="12.83203125" style="226" bestFit="1" customWidth="1"/>
    <col min="15875" max="15876" width="11.33203125" style="226" bestFit="1" customWidth="1"/>
    <col min="15877" max="15877" width="9.5" style="226" bestFit="1" customWidth="1"/>
    <col min="15878" max="15878" width="13.5" style="226" customWidth="1"/>
    <col min="15879" max="15879" width="6.5" style="226" customWidth="1"/>
    <col min="15880" max="15880" width="37" style="226" customWidth="1"/>
    <col min="15881" max="16128" width="8.83203125" style="226"/>
    <col min="16129" max="16129" width="42.6640625" style="226" customWidth="1"/>
    <col min="16130" max="16130" width="12.83203125" style="226" bestFit="1" customWidth="1"/>
    <col min="16131" max="16132" width="11.33203125" style="226" bestFit="1" customWidth="1"/>
    <col min="16133" max="16133" width="9.5" style="226" bestFit="1" customWidth="1"/>
    <col min="16134" max="16134" width="13.5" style="226" customWidth="1"/>
    <col min="16135" max="16135" width="6.5" style="226" customWidth="1"/>
    <col min="16136" max="16136" width="37" style="226" customWidth="1"/>
    <col min="16137" max="16384" width="8.83203125" style="226"/>
  </cols>
  <sheetData>
    <row r="1" spans="1:10" s="224" customFormat="1" ht="19" x14ac:dyDescent="0.25">
      <c r="A1" s="224" t="s">
        <v>1101</v>
      </c>
      <c r="B1" s="225"/>
      <c r="C1" s="225"/>
      <c r="D1" s="225"/>
      <c r="E1" s="225"/>
      <c r="F1" s="225"/>
    </row>
    <row r="2" spans="1:10" ht="14" thickBot="1" x14ac:dyDescent="0.2"/>
    <row r="3" spans="1:10" ht="16" thickBot="1" x14ac:dyDescent="0.25">
      <c r="A3" s="228">
        <v>42238.02</v>
      </c>
      <c r="B3" s="229" t="s">
        <v>1102</v>
      </c>
      <c r="C3" s="229"/>
      <c r="D3" s="229"/>
      <c r="E3" s="229"/>
      <c r="F3" s="230"/>
    </row>
    <row r="5" spans="1:10" s="231" customFormat="1" x14ac:dyDescent="0.15">
      <c r="B5" s="232" t="s">
        <v>1103</v>
      </c>
      <c r="C5" s="233" t="s">
        <v>1104</v>
      </c>
      <c r="D5" s="233" t="s">
        <v>1105</v>
      </c>
      <c r="E5" s="233" t="s">
        <v>1106</v>
      </c>
      <c r="F5" s="232" t="s">
        <v>677</v>
      </c>
      <c r="G5" s="234" t="s">
        <v>912</v>
      </c>
      <c r="H5" s="234" t="s">
        <v>913</v>
      </c>
      <c r="I5" s="234" t="s">
        <v>914</v>
      </c>
      <c r="J5" s="234" t="s">
        <v>1099</v>
      </c>
    </row>
    <row r="6" spans="1:10" x14ac:dyDescent="0.15">
      <c r="A6" s="226" t="s">
        <v>1107</v>
      </c>
      <c r="B6" s="235">
        <f>'Student Info'!D60</f>
        <v>27.91</v>
      </c>
      <c r="C6" s="235">
        <f>'Student Info'!D61</f>
        <v>37.840000000000003</v>
      </c>
      <c r="D6" s="235">
        <f>'Student Info'!D62</f>
        <v>25</v>
      </c>
      <c r="E6" s="235">
        <f>'Student Info'!D63</f>
        <v>18.47</v>
      </c>
      <c r="F6" s="236">
        <f>SUM(B6:E6)</f>
        <v>109.22</v>
      </c>
      <c r="G6" s="226">
        <f>'Student Info'!E64</f>
        <v>111.83</v>
      </c>
      <c r="H6" s="226">
        <f>'Student Info'!F64</f>
        <v>111.83</v>
      </c>
      <c r="I6" s="226">
        <f>'Student Info'!G64</f>
        <v>111.83</v>
      </c>
      <c r="J6" s="226">
        <f>'Student Info'!H64</f>
        <v>111.83</v>
      </c>
    </row>
    <row r="7" spans="1:10" x14ac:dyDescent="0.15">
      <c r="A7" s="226" t="s">
        <v>1108</v>
      </c>
      <c r="B7" s="237"/>
      <c r="C7" s="237"/>
      <c r="D7" s="237"/>
      <c r="E7" s="238"/>
      <c r="F7" s="239">
        <f>'Student Info'!D23</f>
        <v>119</v>
      </c>
      <c r="H7" s="226" t="s">
        <v>1109</v>
      </c>
      <c r="I7" s="226" t="s">
        <v>1110</v>
      </c>
    </row>
    <row r="8" spans="1:10" x14ac:dyDescent="0.15">
      <c r="A8" s="226" t="s">
        <v>1111</v>
      </c>
      <c r="B8" s="240"/>
      <c r="C8" s="240"/>
      <c r="D8" s="240"/>
      <c r="E8" s="241"/>
      <c r="F8" s="239">
        <f>'Student Info'!D68+0.1*'Student Info'!D72</f>
        <v>84.264299999999992</v>
      </c>
      <c r="G8" s="226" t="s">
        <v>1184</v>
      </c>
      <c r="H8" s="226" t="s">
        <v>1112</v>
      </c>
      <c r="I8" s="226" t="s">
        <v>1110</v>
      </c>
    </row>
    <row r="9" spans="1:10" x14ac:dyDescent="0.15">
      <c r="A9" s="226" t="s">
        <v>1113</v>
      </c>
      <c r="B9" s="240"/>
      <c r="C9" s="240"/>
      <c r="D9" s="240"/>
      <c r="E9" s="240"/>
      <c r="F9" s="294">
        <v>0.66</v>
      </c>
    </row>
    <row r="11" spans="1:10" x14ac:dyDescent="0.15">
      <c r="A11" s="226" t="s">
        <v>1114</v>
      </c>
      <c r="B11" s="243">
        <v>6845</v>
      </c>
      <c r="C11" s="243">
        <v>6947</v>
      </c>
      <c r="D11" s="243">
        <v>7154</v>
      </c>
      <c r="E11" s="243">
        <v>8289</v>
      </c>
      <c r="G11" s="226" t="s">
        <v>1190</v>
      </c>
    </row>
    <row r="12" spans="1:10" x14ac:dyDescent="0.15">
      <c r="A12" s="226" t="s">
        <v>1115</v>
      </c>
      <c r="B12" s="244">
        <v>1.0156499999999999</v>
      </c>
      <c r="C12" s="245">
        <f>+B12</f>
        <v>1.0156499999999999</v>
      </c>
      <c r="D12" s="245">
        <f>+B12</f>
        <v>1.0156499999999999</v>
      </c>
      <c r="E12" s="245">
        <f>+B12</f>
        <v>1.0156499999999999</v>
      </c>
      <c r="G12" s="226" t="s">
        <v>1190</v>
      </c>
    </row>
    <row r="13" spans="1:10" x14ac:dyDescent="0.15">
      <c r="A13" s="226" t="s">
        <v>1116</v>
      </c>
      <c r="B13" s="246">
        <f>+ROUND(B11*B12,0)</f>
        <v>6952</v>
      </c>
      <c r="C13" s="246">
        <f>+ROUND(C11*C12,0)</f>
        <v>7056</v>
      </c>
      <c r="D13" s="246">
        <f>+ROUND(D11*D12,0)</f>
        <v>7266</v>
      </c>
      <c r="E13" s="246">
        <f>+ROUND(E11*E12,0)</f>
        <v>8419</v>
      </c>
      <c r="G13" s="226" t="s">
        <v>1190</v>
      </c>
    </row>
    <row r="14" spans="1:10" x14ac:dyDescent="0.15">
      <c r="A14" s="226" t="s">
        <v>1117</v>
      </c>
      <c r="B14" s="247">
        <f>IF(B6="",0,B13*B6)</f>
        <v>194030.32</v>
      </c>
      <c r="C14" s="247">
        <f>IF(C6="",0,C13*C6)</f>
        <v>266999.04000000004</v>
      </c>
      <c r="D14" s="247">
        <f>IF(D6="",0,D13*D6)</f>
        <v>181650</v>
      </c>
      <c r="E14" s="247">
        <f>IF(E6="",0,E13*E6)</f>
        <v>155498.93</v>
      </c>
      <c r="G14" s="246"/>
    </row>
    <row r="15" spans="1:10" x14ac:dyDescent="0.15">
      <c r="B15" s="246"/>
      <c r="C15" s="246"/>
      <c r="D15" s="246"/>
      <c r="E15" s="246"/>
    </row>
    <row r="16" spans="1:10" x14ac:dyDescent="0.15">
      <c r="A16" s="226" t="s">
        <v>1118</v>
      </c>
      <c r="B16" s="246">
        <f>+ROUND(B14*0.104,0)</f>
        <v>20179</v>
      </c>
      <c r="C16" s="246"/>
      <c r="D16" s="246"/>
      <c r="E16" s="246">
        <f>+ROUND(E14*0.026,0)</f>
        <v>4043</v>
      </c>
      <c r="G16" s="226" t="s">
        <v>1190</v>
      </c>
    </row>
    <row r="17" spans="1:6" ht="15" x14ac:dyDescent="0.2">
      <c r="A17" s="226" t="s">
        <v>1119</v>
      </c>
      <c r="B17" s="248">
        <f>+B14+B16</f>
        <v>214209.32</v>
      </c>
      <c r="C17" s="248">
        <f>+C14+C16</f>
        <v>266999.04000000004</v>
      </c>
      <c r="D17" s="248">
        <f>+D14+D16</f>
        <v>181650</v>
      </c>
      <c r="E17" s="248">
        <f>+E14+E16</f>
        <v>159541.93</v>
      </c>
      <c r="F17" s="248">
        <f>SUM(B17:E17)</f>
        <v>822400.29</v>
      </c>
    </row>
    <row r="19" spans="1:6" x14ac:dyDescent="0.15">
      <c r="A19" s="226" t="s">
        <v>1120</v>
      </c>
      <c r="B19" s="227">
        <v>0.2</v>
      </c>
      <c r="C19" s="227">
        <v>0.2</v>
      </c>
      <c r="D19" s="227">
        <v>0.2</v>
      </c>
      <c r="E19" s="227">
        <v>0.2</v>
      </c>
    </row>
    <row r="20" spans="1:6" x14ac:dyDescent="0.15">
      <c r="A20" s="226" t="s">
        <v>1121</v>
      </c>
      <c r="B20" s="249">
        <f>IF($F7=0,0,$F8/$F7)</f>
        <v>0.70810336134453777</v>
      </c>
      <c r="C20" s="249">
        <f>IF($F7=0,0,$F8/$F7)</f>
        <v>0.70810336134453777</v>
      </c>
      <c r="D20" s="249">
        <f>IF($F7=0,0,$F8/$F7)</f>
        <v>0.70810336134453777</v>
      </c>
      <c r="E20" s="249">
        <f>IF($F7=0,0,$F8/$F7)</f>
        <v>0.70810336134453777</v>
      </c>
    </row>
    <row r="21" spans="1:6" ht="15" x14ac:dyDescent="0.2">
      <c r="A21" s="226" t="s">
        <v>1122</v>
      </c>
      <c r="B21" s="248">
        <f>+ROUND(B19*B20*B$17,0)</f>
        <v>30336</v>
      </c>
      <c r="C21" s="248">
        <f>+ROUND(C19*C20*C$17,0)</f>
        <v>37813</v>
      </c>
      <c r="D21" s="248">
        <f>+ROUND(D19*D20*D$17,0)</f>
        <v>25725</v>
      </c>
      <c r="E21" s="248">
        <f>+ROUND(E19*E20*E$17,0)</f>
        <v>22594</v>
      </c>
      <c r="F21" s="248">
        <f>SUM(B21:E21)</f>
        <v>116468</v>
      </c>
    </row>
    <row r="23" spans="1:6" x14ac:dyDescent="0.15">
      <c r="A23" s="226" t="s">
        <v>1123</v>
      </c>
      <c r="B23" s="227">
        <v>0.5</v>
      </c>
      <c r="C23" s="227">
        <v>0.5</v>
      </c>
      <c r="D23" s="227">
        <v>0.5</v>
      </c>
      <c r="E23" s="227">
        <v>0.5</v>
      </c>
    </row>
    <row r="24" spans="1:6" x14ac:dyDescent="0.15">
      <c r="A24" s="226" t="s">
        <v>1121</v>
      </c>
      <c r="B24" s="249">
        <f>MAX(0,MIN(B20-0.55,$F$9-0.55))</f>
        <v>0.10999999999999999</v>
      </c>
      <c r="C24" s="249">
        <f>MAX(0,MIN(C20-0.55,$F$9-0.55))</f>
        <v>0.10999999999999999</v>
      </c>
      <c r="D24" s="249">
        <f>MAX(0,MIN(D20-0.55,$F$9-0.55))</f>
        <v>0.10999999999999999</v>
      </c>
      <c r="E24" s="249">
        <f>MAX(0,MIN(E20-0.55,$F$9-0.55))</f>
        <v>0.10999999999999999</v>
      </c>
    </row>
    <row r="25" spans="1:6" ht="15" x14ac:dyDescent="0.2">
      <c r="A25" s="226" t="s">
        <v>1124</v>
      </c>
      <c r="B25" s="248">
        <f>+ROUND(B23*B24*B$17,0)</f>
        <v>11782</v>
      </c>
      <c r="C25" s="248">
        <f>+ROUND(C23*C24*C$17,0)</f>
        <v>14685</v>
      </c>
      <c r="D25" s="248">
        <f>+ROUND(D23*D24*D$17,0)</f>
        <v>9991</v>
      </c>
      <c r="E25" s="248">
        <f>+ROUND(E23*E24*E$17,0)</f>
        <v>8775</v>
      </c>
      <c r="F25" s="248">
        <f>SUM(B25:E25)</f>
        <v>45233</v>
      </c>
    </row>
    <row r="27" spans="1:6" x14ac:dyDescent="0.15">
      <c r="A27" s="226" t="s">
        <v>1125</v>
      </c>
      <c r="F27" s="239">
        <v>0</v>
      </c>
    </row>
    <row r="28" spans="1:6" x14ac:dyDescent="0.15">
      <c r="A28" s="226" t="s">
        <v>1126</v>
      </c>
      <c r="F28" s="239">
        <v>0</v>
      </c>
    </row>
    <row r="30" spans="1:6" s="253" customFormat="1" ht="30" customHeight="1" x14ac:dyDescent="0.2">
      <c r="A30" s="250" t="s">
        <v>1127</v>
      </c>
      <c r="B30" s="251"/>
      <c r="C30" s="251"/>
      <c r="D30" s="251"/>
      <c r="E30" s="251"/>
      <c r="F30" s="252">
        <f>SUM(F17:F28)</f>
        <v>984101.29</v>
      </c>
    </row>
    <row r="31" spans="1:6" s="253" customFormat="1" ht="15" x14ac:dyDescent="0.2">
      <c r="A31" s="253" t="s">
        <v>1128</v>
      </c>
      <c r="B31" s="254"/>
      <c r="C31" s="254"/>
      <c r="D31" s="254"/>
      <c r="E31" s="254"/>
      <c r="F31" s="255">
        <f>+F30/F6</f>
        <v>9010.2663431605943</v>
      </c>
    </row>
    <row r="32" spans="1:6" ht="14" thickBot="1" x14ac:dyDescent="0.2"/>
    <row r="33" spans="1:8" ht="16" thickBot="1" x14ac:dyDescent="0.25">
      <c r="A33" s="256">
        <v>42238.025000000001</v>
      </c>
      <c r="B33" s="257" t="s">
        <v>1129</v>
      </c>
      <c r="C33" s="257"/>
      <c r="D33" s="257"/>
      <c r="E33" s="257"/>
      <c r="F33" s="258"/>
    </row>
    <row r="35" spans="1:8" x14ac:dyDescent="0.15">
      <c r="A35" s="226" t="s">
        <v>1130</v>
      </c>
      <c r="F35" s="292">
        <v>507382</v>
      </c>
      <c r="G35" s="226" t="s">
        <v>1192</v>
      </c>
    </row>
    <row r="36" spans="1:8" x14ac:dyDescent="0.15">
      <c r="A36" s="226" t="s">
        <v>1131</v>
      </c>
      <c r="F36" s="297">
        <v>94.44</v>
      </c>
      <c r="G36" s="226" t="s">
        <v>1192</v>
      </c>
    </row>
    <row r="37" spans="1:8" x14ac:dyDescent="0.15">
      <c r="A37" s="226" t="s">
        <v>1132</v>
      </c>
      <c r="B37" s="227" t="s">
        <v>1133</v>
      </c>
      <c r="F37" s="259">
        <f>+E12</f>
        <v>1.0156499999999999</v>
      </c>
      <c r="H37" s="226" t="s">
        <v>1134</v>
      </c>
    </row>
    <row r="38" spans="1:8" x14ac:dyDescent="0.15">
      <c r="A38" s="226" t="s">
        <v>1135</v>
      </c>
      <c r="F38" s="260">
        <v>0.18997</v>
      </c>
    </row>
    <row r="39" spans="1:8" ht="15" x14ac:dyDescent="0.2">
      <c r="A39" s="226" t="s">
        <v>1136</v>
      </c>
      <c r="F39" s="248">
        <f>+ROUND(SUM(F35:F35)/(1-F38)*F37,0)</f>
        <v>636177</v>
      </c>
    </row>
    <row r="41" spans="1:8" ht="26" x14ac:dyDescent="0.15">
      <c r="A41" s="261" t="s">
        <v>1137</v>
      </c>
      <c r="B41" s="262" t="s">
        <v>1138</v>
      </c>
      <c r="C41" s="262" t="s">
        <v>1139</v>
      </c>
      <c r="D41" s="262" t="s">
        <v>1140</v>
      </c>
    </row>
    <row r="42" spans="1:8" x14ac:dyDescent="0.15">
      <c r="A42" s="226" t="s">
        <v>1141</v>
      </c>
      <c r="B42" s="292">
        <f>44614-B43</f>
        <v>26768.399999999998</v>
      </c>
      <c r="C42" s="263">
        <f>1-0.8233</f>
        <v>0.17669999999999997</v>
      </c>
      <c r="D42" s="246">
        <f>+ROUND(B42/(1-C42),0)</f>
        <v>32514</v>
      </c>
    </row>
    <row r="43" spans="1:8" x14ac:dyDescent="0.15">
      <c r="A43" s="226" t="s">
        <v>1142</v>
      </c>
      <c r="B43" s="292">
        <f>44614*0.4</f>
        <v>17845.600000000002</v>
      </c>
      <c r="C43" s="263">
        <v>0</v>
      </c>
      <c r="D43" s="246">
        <f t="shared" ref="D43:D52" si="0">+ROUND(B43/(1-C43),0)</f>
        <v>17846</v>
      </c>
    </row>
    <row r="44" spans="1:8" x14ac:dyDescent="0.15">
      <c r="A44" s="226" t="s">
        <v>1143</v>
      </c>
      <c r="B44" s="292">
        <v>0</v>
      </c>
      <c r="C44" s="263">
        <v>0.2</v>
      </c>
      <c r="D44" s="246">
        <f>IF(B44="",0,ROUND(B44/(1-C44),0))</f>
        <v>0</v>
      </c>
    </row>
    <row r="45" spans="1:8" x14ac:dyDescent="0.15">
      <c r="A45" s="226" t="s">
        <v>1144</v>
      </c>
      <c r="B45" s="292">
        <v>0</v>
      </c>
      <c r="C45" s="263">
        <v>0.19800000000000001</v>
      </c>
      <c r="D45" s="246">
        <f t="shared" si="0"/>
        <v>0</v>
      </c>
    </row>
    <row r="46" spans="1:8" ht="29.25" customHeight="1" x14ac:dyDescent="0.15">
      <c r="A46" s="226" t="s">
        <v>1145</v>
      </c>
      <c r="B46" s="293">
        <v>0</v>
      </c>
      <c r="C46" s="263">
        <v>0.19800000000000001</v>
      </c>
      <c r="D46" s="246">
        <f t="shared" si="0"/>
        <v>0</v>
      </c>
      <c r="H46" s="226" t="s">
        <v>1146</v>
      </c>
    </row>
    <row r="47" spans="1:8" x14ac:dyDescent="0.15">
      <c r="A47" s="226" t="s">
        <v>1147</v>
      </c>
      <c r="B47" s="293">
        <v>0</v>
      </c>
      <c r="C47" s="263">
        <v>0.19800000000000001</v>
      </c>
      <c r="D47" s="246">
        <f t="shared" si="0"/>
        <v>0</v>
      </c>
    </row>
    <row r="48" spans="1:8" x14ac:dyDescent="0.15">
      <c r="A48" s="226" t="s">
        <v>1148</v>
      </c>
      <c r="B48" s="293">
        <v>0</v>
      </c>
      <c r="C48" s="263">
        <v>0.19800000000000001</v>
      </c>
      <c r="D48" s="246">
        <f t="shared" si="0"/>
        <v>0</v>
      </c>
    </row>
    <row r="49" spans="1:6" x14ac:dyDescent="0.15">
      <c r="A49" s="226" t="s">
        <v>1149</v>
      </c>
      <c r="B49" s="293">
        <v>0</v>
      </c>
      <c r="C49" s="263">
        <v>0.19800000000000001</v>
      </c>
      <c r="D49" s="246">
        <f t="shared" si="0"/>
        <v>0</v>
      </c>
    </row>
    <row r="50" spans="1:6" x14ac:dyDescent="0.15">
      <c r="A50" s="226" t="s">
        <v>1150</v>
      </c>
      <c r="B50" s="293">
        <v>11530</v>
      </c>
      <c r="C50" s="263">
        <v>0.19800000000000001</v>
      </c>
      <c r="D50" s="246">
        <f t="shared" si="0"/>
        <v>14377</v>
      </c>
    </row>
    <row r="51" spans="1:6" x14ac:dyDescent="0.15">
      <c r="A51" s="226" t="s">
        <v>1150</v>
      </c>
      <c r="B51" s="293">
        <v>0</v>
      </c>
      <c r="C51" s="263">
        <v>0.19800000000000001</v>
      </c>
      <c r="D51" s="246">
        <f t="shared" si="0"/>
        <v>0</v>
      </c>
    </row>
    <row r="52" spans="1:6" x14ac:dyDescent="0.15">
      <c r="A52" s="226" t="s">
        <v>1150</v>
      </c>
      <c r="B52" s="293">
        <v>0</v>
      </c>
      <c r="C52" s="263">
        <v>0.19800000000000001</v>
      </c>
      <c r="D52" s="246">
        <f t="shared" si="0"/>
        <v>0</v>
      </c>
    </row>
    <row r="54" spans="1:6" ht="15" x14ac:dyDescent="0.2">
      <c r="A54" s="226" t="s">
        <v>1151</v>
      </c>
      <c r="F54" s="248">
        <f>SUM(D42:D52)</f>
        <v>64737</v>
      </c>
    </row>
    <row r="56" spans="1:6" s="267" customFormat="1" ht="15" x14ac:dyDescent="0.2">
      <c r="A56" s="264" t="s">
        <v>1152</v>
      </c>
      <c r="B56" s="265"/>
      <c r="C56" s="265"/>
      <c r="D56" s="265"/>
      <c r="E56" s="265"/>
      <c r="F56" s="266">
        <f>+F39+F54</f>
        <v>700914</v>
      </c>
    </row>
    <row r="57" spans="1:6" x14ac:dyDescent="0.15">
      <c r="A57" s="268" t="s">
        <v>1153</v>
      </c>
      <c r="F57" s="227">
        <f>+F56/F36</f>
        <v>7421.7916137229986</v>
      </c>
    </row>
    <row r="58" spans="1:6" x14ac:dyDescent="0.15">
      <c r="A58" s="268" t="s">
        <v>1154</v>
      </c>
      <c r="F58" s="227" t="str">
        <f>IF(F57&gt;F31,"YES","NO")</f>
        <v>NO</v>
      </c>
    </row>
    <row r="59" spans="1:6" x14ac:dyDescent="0.15">
      <c r="A59" s="269" t="s">
        <v>1155</v>
      </c>
      <c r="F59" s="227">
        <v>1</v>
      </c>
    </row>
    <row r="60" spans="1:6" ht="15" x14ac:dyDescent="0.2">
      <c r="A60" s="270" t="s">
        <v>1156</v>
      </c>
      <c r="B60" s="251"/>
      <c r="C60" s="251"/>
      <c r="D60" s="251"/>
      <c r="E60" s="251"/>
      <c r="F60" s="252">
        <f>MAX(0,(F57-F31)/8*F59)</f>
        <v>0</v>
      </c>
    </row>
    <row r="61" spans="1:6" ht="14" thickBot="1" x14ac:dyDescent="0.2"/>
    <row r="62" spans="1:6" ht="16" thickBot="1" x14ac:dyDescent="0.25">
      <c r="A62" s="256">
        <v>42238.03</v>
      </c>
      <c r="B62" s="257" t="s">
        <v>1157</v>
      </c>
      <c r="C62" s="257"/>
      <c r="D62" s="257"/>
      <c r="E62" s="257"/>
      <c r="F62" s="258"/>
    </row>
    <row r="64" spans="1:6" ht="15" x14ac:dyDescent="0.2">
      <c r="A64" s="267" t="s">
        <v>1158</v>
      </c>
    </row>
    <row r="65" spans="1:7" x14ac:dyDescent="0.15">
      <c r="A65" s="226" t="s">
        <v>1159</v>
      </c>
      <c r="F65" s="239">
        <v>0</v>
      </c>
    </row>
    <row r="66" spans="1:7" x14ac:dyDescent="0.15">
      <c r="A66" s="226" t="s">
        <v>1160</v>
      </c>
      <c r="F66" s="246">
        <f>+F65*E12</f>
        <v>0</v>
      </c>
    </row>
    <row r="67" spans="1:7" s="267" customFormat="1" ht="15" x14ac:dyDescent="0.2">
      <c r="A67" s="267" t="s">
        <v>1161</v>
      </c>
      <c r="B67" s="271" t="s">
        <v>1162</v>
      </c>
      <c r="C67" s="271"/>
      <c r="D67" s="271"/>
      <c r="E67" s="271"/>
      <c r="F67" s="272">
        <f>+F66*F6</f>
        <v>0</v>
      </c>
    </row>
    <row r="68" spans="1:7" x14ac:dyDescent="0.15">
      <c r="A68" s="226" t="s">
        <v>1163</v>
      </c>
    </row>
    <row r="69" spans="1:7" ht="12.75" customHeight="1" x14ac:dyDescent="0.15"/>
    <row r="71" spans="1:7" ht="15" x14ac:dyDescent="0.2">
      <c r="A71" s="226" t="s">
        <v>1164</v>
      </c>
      <c r="F71" s="248">
        <f>IF(F67&gt;0,"N/A",F35)</f>
        <v>507382</v>
      </c>
    </row>
    <row r="72" spans="1:7" ht="12.75" customHeight="1" x14ac:dyDescent="0.2">
      <c r="A72" s="226" t="s">
        <v>1165</v>
      </c>
      <c r="F72" s="248">
        <f>IF(F68&gt;0,"N/A",B42)</f>
        <v>26768.399999999998</v>
      </c>
    </row>
    <row r="73" spans="1:7" ht="15" x14ac:dyDescent="0.2">
      <c r="A73" s="226" t="s">
        <v>1166</v>
      </c>
      <c r="F73" s="248">
        <f>+B43</f>
        <v>17845.600000000002</v>
      </c>
    </row>
    <row r="74" spans="1:7" ht="15" x14ac:dyDescent="0.2">
      <c r="A74" s="226" t="s">
        <v>1167</v>
      </c>
      <c r="F74" s="248">
        <f>SUM(F71:F73)</f>
        <v>551996</v>
      </c>
    </row>
    <row r="75" spans="1:7" x14ac:dyDescent="0.15">
      <c r="F75" s="246"/>
    </row>
    <row r="76" spans="1:7" x14ac:dyDescent="0.15">
      <c r="A76" s="226" t="s">
        <v>1168</v>
      </c>
      <c r="F76" s="246">
        <f>IF(F67&gt;0,"N/A",ROUND(F74/F36,0))</f>
        <v>5845</v>
      </c>
    </row>
    <row r="77" spans="1:7" ht="15" x14ac:dyDescent="0.2">
      <c r="A77" s="226" t="s">
        <v>1169</v>
      </c>
      <c r="F77" s="248">
        <f>IF(F67&gt;0,"N/A",F76*F6)</f>
        <v>638390.9</v>
      </c>
      <c r="G77" s="273">
        <f>+F77/F81</f>
        <v>0.98225937956449783</v>
      </c>
    </row>
    <row r="79" spans="1:7" ht="15" x14ac:dyDescent="0.2">
      <c r="A79" s="226" t="s">
        <v>1170</v>
      </c>
      <c r="F79" s="248">
        <f>+SUM(B44:B52)</f>
        <v>11530</v>
      </c>
      <c r="G79" s="273">
        <f>+F79/F83</f>
        <v>1.1716273636832647E-2</v>
      </c>
    </row>
    <row r="81" spans="1:10" x14ac:dyDescent="0.15">
      <c r="A81" s="226" t="s">
        <v>1171</v>
      </c>
      <c r="F81" s="274">
        <f>+F77+F79</f>
        <v>649920.9</v>
      </c>
    </row>
    <row r="83" spans="1:10" ht="15" x14ac:dyDescent="0.2">
      <c r="A83" s="226" t="s">
        <v>1172</v>
      </c>
      <c r="F83" s="248">
        <f>+F30</f>
        <v>984101.29</v>
      </c>
    </row>
    <row r="84" spans="1:10" ht="15" x14ac:dyDescent="0.2">
      <c r="A84" s="226" t="s">
        <v>1173</v>
      </c>
      <c r="F84" s="248">
        <f>+F83-F81</f>
        <v>334180.39</v>
      </c>
      <c r="G84" s="234" t="s">
        <v>912</v>
      </c>
      <c r="H84" s="234" t="s">
        <v>913</v>
      </c>
      <c r="I84" s="234" t="s">
        <v>914</v>
      </c>
      <c r="J84" s="234" t="s">
        <v>1099</v>
      </c>
    </row>
    <row r="85" spans="1:10" x14ac:dyDescent="0.15">
      <c r="A85" s="275" t="s">
        <v>1174</v>
      </c>
      <c r="F85" s="242">
        <v>0.12</v>
      </c>
      <c r="G85" s="242">
        <f>2*$F$85</f>
        <v>0.24</v>
      </c>
      <c r="H85" s="242">
        <f>3*$F$85</f>
        <v>0.36</v>
      </c>
      <c r="I85" s="242">
        <f>4*$F$85</f>
        <v>0.48</v>
      </c>
      <c r="J85" s="242">
        <f>5*$F$85</f>
        <v>0.6</v>
      </c>
    </row>
    <row r="86" spans="1:10" x14ac:dyDescent="0.15">
      <c r="A86" s="275"/>
      <c r="F86" s="249"/>
      <c r="G86" s="276">
        <f>(G85*($F$31-$D$95))+$D$95</f>
        <v>6697.4042019011094</v>
      </c>
      <c r="H86" s="276">
        <f>(H85*($F$31-$D$95))+$D$95</f>
        <v>7062.5929610473431</v>
      </c>
      <c r="I86" s="276">
        <f>(I85*($F$31-$D$95))+$D$95</f>
        <v>7427.7817201935777</v>
      </c>
      <c r="J86" s="276">
        <f>(J85*($F$31-$D$95))+$D$95</f>
        <v>7792.9704793398123</v>
      </c>
    </row>
    <row r="87" spans="1:10" ht="15" x14ac:dyDescent="0.2">
      <c r="A87" s="250" t="s">
        <v>1175</v>
      </c>
      <c r="B87" s="251"/>
      <c r="C87" s="251"/>
      <c r="D87" s="251"/>
      <c r="E87" s="251"/>
      <c r="F87" s="252">
        <f>ROUND(F84*F85,0)</f>
        <v>40102</v>
      </c>
      <c r="G87" s="277"/>
      <c r="H87" s="277"/>
      <c r="I87" s="277"/>
      <c r="J87" s="277"/>
    </row>
    <row r="89" spans="1:10" ht="15" x14ac:dyDescent="0.2">
      <c r="A89" s="250" t="s">
        <v>1176</v>
      </c>
      <c r="B89" s="251"/>
      <c r="C89" s="251"/>
      <c r="D89" s="251"/>
      <c r="E89" s="251"/>
      <c r="F89" s="252">
        <f>+$F$81+F87+F60</f>
        <v>690022.9</v>
      </c>
      <c r="G89" s="252">
        <f>G86*G6</f>
        <v>748970.71189860103</v>
      </c>
      <c r="H89" s="252">
        <f>H86*H6</f>
        <v>789809.77083392441</v>
      </c>
      <c r="I89" s="252">
        <f>I86*I6</f>
        <v>830648.82976924779</v>
      </c>
      <c r="J89" s="252">
        <f>J86*J6</f>
        <v>871487.88870457117</v>
      </c>
    </row>
    <row r="91" spans="1:10" x14ac:dyDescent="0.15">
      <c r="A91" s="226" t="s">
        <v>1177</v>
      </c>
      <c r="F91" s="274">
        <f>+ROUND(F89*G77,0)-B43</f>
        <v>659935.4</v>
      </c>
    </row>
    <row r="92" spans="1:10" x14ac:dyDescent="0.15">
      <c r="A92" s="226" t="s">
        <v>1178</v>
      </c>
      <c r="F92" s="274">
        <f>+F89-F91</f>
        <v>30087.5</v>
      </c>
    </row>
    <row r="94" spans="1:10" x14ac:dyDescent="0.15">
      <c r="C94" s="227" t="s">
        <v>1179</v>
      </c>
      <c r="D94" s="227" t="s">
        <v>1180</v>
      </c>
    </row>
    <row r="95" spans="1:10" ht="15" x14ac:dyDescent="0.2">
      <c r="A95" s="226" t="s">
        <v>1181</v>
      </c>
      <c r="C95" s="227">
        <f>+F36</f>
        <v>94.44</v>
      </c>
      <c r="D95" s="274">
        <f>+F95/C95</f>
        <v>5967.0266836086403</v>
      </c>
      <c r="F95" s="278">
        <f>+F74+F79</f>
        <v>563526</v>
      </c>
    </row>
    <row r="96" spans="1:10" ht="15" x14ac:dyDescent="0.2">
      <c r="A96" s="226" t="s">
        <v>1182</v>
      </c>
      <c r="C96" s="227">
        <f>+F6</f>
        <v>109.22</v>
      </c>
      <c r="D96" s="274">
        <f>+F96/C96</f>
        <v>6317.7339315143745</v>
      </c>
      <c r="F96" s="278">
        <f>+F89</f>
        <v>690022.9</v>
      </c>
    </row>
    <row r="97" spans="1:6" ht="15" x14ac:dyDescent="0.2">
      <c r="F97" s="278"/>
    </row>
    <row r="98" spans="1:6" ht="15" x14ac:dyDescent="0.2">
      <c r="A98" s="226" t="s">
        <v>1183</v>
      </c>
      <c r="F98" s="278">
        <f>+F96-F95</f>
        <v>126496.90000000002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pageSetUpPr fitToPage="1"/>
  </sheetPr>
  <dimension ref="A1:K165"/>
  <sheetViews>
    <sheetView workbookViewId="0">
      <pane xSplit="3" ySplit="7" topLeftCell="D37" activePane="bottomRight" state="frozen"/>
      <selection activeCell="A3" sqref="A3"/>
      <selection pane="topRight" activeCell="A3" sqref="A3"/>
      <selection pane="bottomLeft" activeCell="A3" sqref="A3"/>
      <selection pane="bottomRight" activeCell="E42" sqref="E42"/>
    </sheetView>
  </sheetViews>
  <sheetFormatPr baseColWidth="10" defaultColWidth="8.83203125" defaultRowHeight="16" outlineLevelRow="1" outlineLevelCol="1" x14ac:dyDescent="0.2"/>
  <cols>
    <col min="1" max="1" width="5.6640625" style="35" customWidth="1"/>
    <col min="2" max="2" width="5.5" style="1" customWidth="1"/>
    <col min="3" max="3" width="42.5" style="1" customWidth="1"/>
    <col min="4" max="4" width="20.33203125" style="31" bestFit="1" customWidth="1"/>
    <col min="5" max="8" width="20.33203125" style="31" customWidth="1" outlineLevel="1"/>
    <col min="9" max="9" width="12.33203125" style="31" customWidth="1"/>
    <col min="10" max="11" width="8.83203125" style="31"/>
    <col min="12" max="257" width="8.83203125" style="1"/>
    <col min="258" max="258" width="22.83203125" style="1" customWidth="1"/>
    <col min="259" max="513" width="8.83203125" style="1"/>
    <col min="514" max="514" width="22.83203125" style="1" customWidth="1"/>
    <col min="515" max="769" width="8.83203125" style="1"/>
    <col min="770" max="770" width="22.83203125" style="1" customWidth="1"/>
    <col min="771" max="1025" width="8.83203125" style="1"/>
    <col min="1026" max="1026" width="22.83203125" style="1" customWidth="1"/>
    <col min="1027" max="1281" width="8.83203125" style="1"/>
    <col min="1282" max="1282" width="22.83203125" style="1" customWidth="1"/>
    <col min="1283" max="1537" width="8.83203125" style="1"/>
    <col min="1538" max="1538" width="22.83203125" style="1" customWidth="1"/>
    <col min="1539" max="1793" width="8.83203125" style="1"/>
    <col min="1794" max="1794" width="22.83203125" style="1" customWidth="1"/>
    <col min="1795" max="2049" width="8.83203125" style="1"/>
    <col min="2050" max="2050" width="22.83203125" style="1" customWidth="1"/>
    <col min="2051" max="2305" width="8.83203125" style="1"/>
    <col min="2306" max="2306" width="22.83203125" style="1" customWidth="1"/>
    <col min="2307" max="2561" width="8.83203125" style="1"/>
    <col min="2562" max="2562" width="22.83203125" style="1" customWidth="1"/>
    <col min="2563" max="2817" width="8.83203125" style="1"/>
    <col min="2818" max="2818" width="22.83203125" style="1" customWidth="1"/>
    <col min="2819" max="3073" width="8.83203125" style="1"/>
    <col min="3074" max="3074" width="22.83203125" style="1" customWidth="1"/>
    <col min="3075" max="3329" width="8.83203125" style="1"/>
    <col min="3330" max="3330" width="22.83203125" style="1" customWidth="1"/>
    <col min="3331" max="3585" width="8.83203125" style="1"/>
    <col min="3586" max="3586" width="22.83203125" style="1" customWidth="1"/>
    <col min="3587" max="3841" width="8.83203125" style="1"/>
    <col min="3842" max="3842" width="22.83203125" style="1" customWidth="1"/>
    <col min="3843" max="4097" width="8.83203125" style="1"/>
    <col min="4098" max="4098" width="22.83203125" style="1" customWidth="1"/>
    <col min="4099" max="4353" width="8.83203125" style="1"/>
    <col min="4354" max="4354" width="22.83203125" style="1" customWidth="1"/>
    <col min="4355" max="4609" width="8.83203125" style="1"/>
    <col min="4610" max="4610" width="22.83203125" style="1" customWidth="1"/>
    <col min="4611" max="4865" width="8.83203125" style="1"/>
    <col min="4866" max="4866" width="22.83203125" style="1" customWidth="1"/>
    <col min="4867" max="5121" width="8.83203125" style="1"/>
    <col min="5122" max="5122" width="22.83203125" style="1" customWidth="1"/>
    <col min="5123" max="5377" width="8.83203125" style="1"/>
    <col min="5378" max="5378" width="22.83203125" style="1" customWidth="1"/>
    <col min="5379" max="5633" width="8.83203125" style="1"/>
    <col min="5634" max="5634" width="22.83203125" style="1" customWidth="1"/>
    <col min="5635" max="5889" width="8.83203125" style="1"/>
    <col min="5890" max="5890" width="22.83203125" style="1" customWidth="1"/>
    <col min="5891" max="6145" width="8.83203125" style="1"/>
    <col min="6146" max="6146" width="22.83203125" style="1" customWidth="1"/>
    <col min="6147" max="6401" width="8.83203125" style="1"/>
    <col min="6402" max="6402" width="22.83203125" style="1" customWidth="1"/>
    <col min="6403" max="6657" width="8.83203125" style="1"/>
    <col min="6658" max="6658" width="22.83203125" style="1" customWidth="1"/>
    <col min="6659" max="6913" width="8.83203125" style="1"/>
    <col min="6914" max="6914" width="22.83203125" style="1" customWidth="1"/>
    <col min="6915" max="7169" width="8.83203125" style="1"/>
    <col min="7170" max="7170" width="22.83203125" style="1" customWidth="1"/>
    <col min="7171" max="7425" width="8.83203125" style="1"/>
    <col min="7426" max="7426" width="22.83203125" style="1" customWidth="1"/>
    <col min="7427" max="7681" width="8.83203125" style="1"/>
    <col min="7682" max="7682" width="22.83203125" style="1" customWidth="1"/>
    <col min="7683" max="7937" width="8.83203125" style="1"/>
    <col min="7938" max="7938" width="22.83203125" style="1" customWidth="1"/>
    <col min="7939" max="8193" width="8.83203125" style="1"/>
    <col min="8194" max="8194" width="22.83203125" style="1" customWidth="1"/>
    <col min="8195" max="8449" width="8.83203125" style="1"/>
    <col min="8450" max="8450" width="22.83203125" style="1" customWidth="1"/>
    <col min="8451" max="8705" width="8.83203125" style="1"/>
    <col min="8706" max="8706" width="22.83203125" style="1" customWidth="1"/>
    <col min="8707" max="8961" width="8.83203125" style="1"/>
    <col min="8962" max="8962" width="22.83203125" style="1" customWidth="1"/>
    <col min="8963" max="9217" width="8.83203125" style="1"/>
    <col min="9218" max="9218" width="22.83203125" style="1" customWidth="1"/>
    <col min="9219" max="9473" width="8.83203125" style="1"/>
    <col min="9474" max="9474" width="22.83203125" style="1" customWidth="1"/>
    <col min="9475" max="9729" width="8.83203125" style="1"/>
    <col min="9730" max="9730" width="22.83203125" style="1" customWidth="1"/>
    <col min="9731" max="9985" width="8.83203125" style="1"/>
    <col min="9986" max="9986" width="22.83203125" style="1" customWidth="1"/>
    <col min="9987" max="10241" width="8.83203125" style="1"/>
    <col min="10242" max="10242" width="22.83203125" style="1" customWidth="1"/>
    <col min="10243" max="10497" width="8.83203125" style="1"/>
    <col min="10498" max="10498" width="22.83203125" style="1" customWidth="1"/>
    <col min="10499" max="10753" width="8.83203125" style="1"/>
    <col min="10754" max="10754" width="22.83203125" style="1" customWidth="1"/>
    <col min="10755" max="11009" width="8.83203125" style="1"/>
    <col min="11010" max="11010" width="22.83203125" style="1" customWidth="1"/>
    <col min="11011" max="11265" width="8.83203125" style="1"/>
    <col min="11266" max="11266" width="22.83203125" style="1" customWidth="1"/>
    <col min="11267" max="11521" width="8.83203125" style="1"/>
    <col min="11522" max="11522" width="22.83203125" style="1" customWidth="1"/>
    <col min="11523" max="11777" width="8.83203125" style="1"/>
    <col min="11778" max="11778" width="22.83203125" style="1" customWidth="1"/>
    <col min="11779" max="12033" width="8.83203125" style="1"/>
    <col min="12034" max="12034" width="22.83203125" style="1" customWidth="1"/>
    <col min="12035" max="12289" width="8.83203125" style="1"/>
    <col min="12290" max="12290" width="22.83203125" style="1" customWidth="1"/>
    <col min="12291" max="12545" width="8.83203125" style="1"/>
    <col min="12546" max="12546" width="22.83203125" style="1" customWidth="1"/>
    <col min="12547" max="12801" width="8.83203125" style="1"/>
    <col min="12802" max="12802" width="22.83203125" style="1" customWidth="1"/>
    <col min="12803" max="13057" width="8.83203125" style="1"/>
    <col min="13058" max="13058" width="22.83203125" style="1" customWidth="1"/>
    <col min="13059" max="13313" width="8.83203125" style="1"/>
    <col min="13314" max="13314" width="22.83203125" style="1" customWidth="1"/>
    <col min="13315" max="13569" width="8.83203125" style="1"/>
    <col min="13570" max="13570" width="22.83203125" style="1" customWidth="1"/>
    <col min="13571" max="13825" width="8.83203125" style="1"/>
    <col min="13826" max="13826" width="22.83203125" style="1" customWidth="1"/>
    <col min="13827" max="14081" width="8.83203125" style="1"/>
    <col min="14082" max="14082" width="22.83203125" style="1" customWidth="1"/>
    <col min="14083" max="14337" width="8.83203125" style="1"/>
    <col min="14338" max="14338" width="22.83203125" style="1" customWidth="1"/>
    <col min="14339" max="14593" width="8.83203125" style="1"/>
    <col min="14594" max="14594" width="22.83203125" style="1" customWidth="1"/>
    <col min="14595" max="14849" width="8.83203125" style="1"/>
    <col min="14850" max="14850" width="22.83203125" style="1" customWidth="1"/>
    <col min="14851" max="15105" width="8.83203125" style="1"/>
    <col min="15106" max="15106" width="22.83203125" style="1" customWidth="1"/>
    <col min="15107" max="15361" width="8.83203125" style="1"/>
    <col min="15362" max="15362" width="22.83203125" style="1" customWidth="1"/>
    <col min="15363" max="15617" width="8.83203125" style="1"/>
    <col min="15618" max="15618" width="22.83203125" style="1" customWidth="1"/>
    <col min="15619" max="15873" width="8.83203125" style="1"/>
    <col min="15874" max="15874" width="22.83203125" style="1" customWidth="1"/>
    <col min="15875" max="16129" width="8.83203125" style="1"/>
    <col min="16130" max="16130" width="22.83203125" style="1" customWidth="1"/>
    <col min="16131" max="16384" width="8.83203125" style="1"/>
  </cols>
  <sheetData>
    <row r="1" spans="1:8" ht="20" x14ac:dyDescent="0.2">
      <c r="A1" s="22" t="str">
        <f>'Student Info'!$A$1</f>
        <v>Three Rivers Charter School</v>
      </c>
    </row>
    <row r="2" spans="1:8" ht="18" x14ac:dyDescent="0.2">
      <c r="A2" s="21" t="s">
        <v>747</v>
      </c>
      <c r="E2" s="176" t="s">
        <v>1191</v>
      </c>
      <c r="F2" s="171"/>
      <c r="G2" s="171"/>
      <c r="H2" s="171"/>
    </row>
    <row r="3" spans="1:8" ht="18" x14ac:dyDescent="0.2">
      <c r="A3" s="21" t="str">
        <f>'Student Info'!$A$3</f>
        <v>Five Year Budget, 2015-16 to 2019-20</v>
      </c>
      <c r="E3" s="169">
        <v>1.7999999999999999E-2</v>
      </c>
      <c r="F3" s="169">
        <v>2.3E-2</v>
      </c>
      <c r="G3" s="169">
        <v>2.5000000000000001E-2</v>
      </c>
      <c r="H3" s="169">
        <v>2.7E-2</v>
      </c>
    </row>
    <row r="4" spans="1:8" ht="29.25" customHeight="1" x14ac:dyDescent="0.2"/>
    <row r="5" spans="1:8" ht="23.25" customHeight="1" x14ac:dyDescent="0.2"/>
    <row r="6" spans="1:8" ht="18" x14ac:dyDescent="0.2">
      <c r="A6" s="29"/>
      <c r="B6" s="29"/>
      <c r="C6" s="29"/>
    </row>
    <row r="7" spans="1:8" ht="19" thickBot="1" x14ac:dyDescent="0.25">
      <c r="A7" s="30" t="s">
        <v>727</v>
      </c>
      <c r="B7" s="30" t="s">
        <v>728</v>
      </c>
      <c r="C7" s="30" t="s">
        <v>729</v>
      </c>
      <c r="D7" s="32" t="str">
        <f>'Student Info'!D$7</f>
        <v>2015-16</v>
      </c>
      <c r="E7" s="32" t="str">
        <f>'Student Info'!E$7</f>
        <v>2016-17</v>
      </c>
      <c r="F7" s="32" t="str">
        <f>'Student Info'!F$7</f>
        <v>2017-18</v>
      </c>
      <c r="G7" s="32" t="str">
        <f>'Student Info'!G$7</f>
        <v>2018-19</v>
      </c>
      <c r="H7" s="32" t="str">
        <f>'Student Info'!H$7</f>
        <v>2019-20</v>
      </c>
    </row>
    <row r="8" spans="1:8" x14ac:dyDescent="0.2">
      <c r="A8" s="34" t="s">
        <v>678</v>
      </c>
      <c r="B8" s="2"/>
      <c r="C8" s="3"/>
    </row>
    <row r="9" spans="1:8" x14ac:dyDescent="0.2">
      <c r="A9" s="36"/>
      <c r="B9" s="135" t="s">
        <v>86</v>
      </c>
      <c r="C9" s="136" t="s">
        <v>592</v>
      </c>
      <c r="D9" s="64">
        <v>26905</v>
      </c>
      <c r="E9" s="64">
        <f>IF(D9="","",D9*(1+E$3))</f>
        <v>27389.29</v>
      </c>
      <c r="F9" s="64">
        <f t="shared" ref="F9:F10" si="0">IF(E9="","",E9*(1+F$3))</f>
        <v>28019.24367</v>
      </c>
      <c r="G9" s="64">
        <f t="shared" ref="G9:G10" si="1">IF(F9="","",F9*(1+G$3))</f>
        <v>28719.724761749996</v>
      </c>
      <c r="H9" s="64">
        <f t="shared" ref="H9:H10" si="2">IF(G9="","",G9*(1+H$3))</f>
        <v>29495.157330317244</v>
      </c>
    </row>
    <row r="10" spans="1:8" x14ac:dyDescent="0.2">
      <c r="A10" s="36"/>
      <c r="B10" s="135" t="s">
        <v>88</v>
      </c>
      <c r="C10" s="136" t="s">
        <v>593</v>
      </c>
      <c r="D10" s="64">
        <v>2070</v>
      </c>
      <c r="E10" s="64">
        <f t="shared" ref="E10:E14" si="3">IF(D10="","",D10*(1+E$3))</f>
        <v>2107.2600000000002</v>
      </c>
      <c r="F10" s="64">
        <f t="shared" si="0"/>
        <v>2155.7269799999999</v>
      </c>
      <c r="G10" s="64">
        <f t="shared" si="1"/>
        <v>2209.6201544999999</v>
      </c>
      <c r="H10" s="64">
        <f t="shared" si="2"/>
        <v>2269.2798986714997</v>
      </c>
    </row>
    <row r="11" spans="1:8" x14ac:dyDescent="0.2">
      <c r="A11" s="36"/>
      <c r="B11" s="135" t="s">
        <v>90</v>
      </c>
      <c r="C11" s="136" t="s">
        <v>595</v>
      </c>
      <c r="D11" s="64">
        <v>5387</v>
      </c>
      <c r="E11" s="64">
        <f t="shared" si="3"/>
        <v>5483.9660000000003</v>
      </c>
      <c r="F11" s="64">
        <f t="shared" ref="F11:F13" si="4">IF(E11="","",E11*(1+F$3))</f>
        <v>5610.0972179999999</v>
      </c>
      <c r="G11" s="64">
        <f t="shared" ref="G11:G13" si="5">IF(F11="","",F11*(1+G$3))</f>
        <v>5750.3496484499992</v>
      </c>
      <c r="H11" s="64">
        <f t="shared" ref="H11:H13" si="6">IF(G11="","",G11*(1+H$3))</f>
        <v>5905.6090889581483</v>
      </c>
    </row>
    <row r="12" spans="1:8" x14ac:dyDescent="0.2">
      <c r="A12" s="36"/>
      <c r="B12" s="159" t="s">
        <v>839</v>
      </c>
      <c r="C12" s="136" t="s">
        <v>594</v>
      </c>
      <c r="D12" s="64">
        <v>3512</v>
      </c>
      <c r="E12" s="64">
        <f t="shared" si="3"/>
        <v>3575.2159999999999</v>
      </c>
      <c r="F12" s="64">
        <f t="shared" si="4"/>
        <v>3657.4459679999995</v>
      </c>
      <c r="G12" s="64">
        <f t="shared" si="5"/>
        <v>3748.8821171999994</v>
      </c>
      <c r="H12" s="64">
        <f t="shared" si="6"/>
        <v>3850.1019343643989</v>
      </c>
    </row>
    <row r="13" spans="1:8" x14ac:dyDescent="0.2">
      <c r="A13" s="36"/>
      <c r="B13" s="135" t="s">
        <v>92</v>
      </c>
      <c r="C13" s="136" t="s">
        <v>596</v>
      </c>
      <c r="D13" s="64">
        <v>3896</v>
      </c>
      <c r="E13" s="64">
        <v>10000</v>
      </c>
      <c r="F13" s="64">
        <f t="shared" si="4"/>
        <v>10230</v>
      </c>
      <c r="G13" s="64">
        <f t="shared" si="5"/>
        <v>10485.75</v>
      </c>
      <c r="H13" s="64">
        <f t="shared" si="6"/>
        <v>10768.865249999999</v>
      </c>
    </row>
    <row r="14" spans="1:8" x14ac:dyDescent="0.2">
      <c r="A14" s="36"/>
      <c r="B14" s="135" t="s">
        <v>679</v>
      </c>
      <c r="C14" s="136" t="s">
        <v>840</v>
      </c>
      <c r="D14" s="64">
        <v>4011</v>
      </c>
      <c r="E14" s="64">
        <f t="shared" si="3"/>
        <v>4083.1979999999999</v>
      </c>
      <c r="F14" s="64">
        <f t="shared" ref="F14:H14" si="7">IF(E14="","",E14*(1+F$3))</f>
        <v>4177.1115539999992</v>
      </c>
      <c r="G14" s="64">
        <f t="shared" si="7"/>
        <v>4281.5393428499983</v>
      </c>
      <c r="H14" s="64">
        <f t="shared" si="7"/>
        <v>4397.1409051069477</v>
      </c>
    </row>
    <row r="15" spans="1:8" hidden="1" outlineLevel="1" x14ac:dyDescent="0.2">
      <c r="A15" s="36"/>
      <c r="B15" s="135"/>
      <c r="C15" s="136"/>
      <c r="D15" s="64" t="s">
        <v>1236</v>
      </c>
      <c r="E15" s="64" t="str">
        <f t="shared" ref="E15:E25" si="8">IF(D15="","",D15*(1+E$3))</f>
        <v/>
      </c>
      <c r="F15" s="64" t="str">
        <f t="shared" ref="F15:F25" si="9">IF(E15="","",E15*(1+F$3))</f>
        <v/>
      </c>
      <c r="G15" s="64" t="str">
        <f t="shared" ref="G15:G25" si="10">IF(F15="","",F15*(1+G$3))</f>
        <v/>
      </c>
      <c r="H15" s="64" t="str">
        <f t="shared" ref="H15:H25" si="11">IF(G15="","",G15*(1+H$3))</f>
        <v/>
      </c>
    </row>
    <row r="16" spans="1:8" hidden="1" outlineLevel="1" x14ac:dyDescent="0.2">
      <c r="A16" s="36"/>
      <c r="B16" s="135"/>
      <c r="C16" s="136"/>
      <c r="D16" s="64" t="s">
        <v>1236</v>
      </c>
      <c r="E16" s="64" t="str">
        <f t="shared" si="8"/>
        <v/>
      </c>
      <c r="F16" s="64" t="str">
        <f t="shared" si="9"/>
        <v/>
      </c>
      <c r="G16" s="64" t="str">
        <f t="shared" si="10"/>
        <v/>
      </c>
      <c r="H16" s="64" t="str">
        <f t="shared" si="11"/>
        <v/>
      </c>
    </row>
    <row r="17" spans="1:8" hidden="1" outlineLevel="1" x14ac:dyDescent="0.2">
      <c r="A17" s="36"/>
      <c r="B17" s="135"/>
      <c r="C17" s="136"/>
      <c r="D17" s="64" t="s">
        <v>1236</v>
      </c>
      <c r="E17" s="64" t="str">
        <f t="shared" si="8"/>
        <v/>
      </c>
      <c r="F17" s="64" t="str">
        <f t="shared" si="9"/>
        <v/>
      </c>
      <c r="G17" s="64" t="str">
        <f t="shared" si="10"/>
        <v/>
      </c>
      <c r="H17" s="64" t="str">
        <f t="shared" si="11"/>
        <v/>
      </c>
    </row>
    <row r="18" spans="1:8" hidden="1" outlineLevel="1" x14ac:dyDescent="0.2">
      <c r="A18" s="36"/>
      <c r="B18" s="135"/>
      <c r="C18" s="136"/>
      <c r="D18" s="64" t="s">
        <v>1236</v>
      </c>
      <c r="E18" s="64" t="str">
        <f t="shared" si="8"/>
        <v/>
      </c>
      <c r="F18" s="64" t="str">
        <f t="shared" si="9"/>
        <v/>
      </c>
      <c r="G18" s="64" t="str">
        <f t="shared" si="10"/>
        <v/>
      </c>
      <c r="H18" s="64" t="str">
        <f t="shared" si="11"/>
        <v/>
      </c>
    </row>
    <row r="19" spans="1:8" hidden="1" outlineLevel="1" x14ac:dyDescent="0.2">
      <c r="A19" s="36"/>
      <c r="B19" s="135"/>
      <c r="C19" s="136"/>
      <c r="D19" s="64" t="s">
        <v>1236</v>
      </c>
      <c r="E19" s="64" t="str">
        <f t="shared" si="8"/>
        <v/>
      </c>
      <c r="F19" s="64" t="str">
        <f t="shared" si="9"/>
        <v/>
      </c>
      <c r="G19" s="64" t="str">
        <f t="shared" si="10"/>
        <v/>
      </c>
      <c r="H19" s="64" t="str">
        <f t="shared" si="11"/>
        <v/>
      </c>
    </row>
    <row r="20" spans="1:8" hidden="1" outlineLevel="1" x14ac:dyDescent="0.2">
      <c r="A20" s="36"/>
      <c r="B20" s="135"/>
      <c r="C20" s="136"/>
      <c r="D20" s="64" t="s">
        <v>1236</v>
      </c>
      <c r="E20" s="64" t="str">
        <f t="shared" si="8"/>
        <v/>
      </c>
      <c r="F20" s="64" t="str">
        <f t="shared" si="9"/>
        <v/>
      </c>
      <c r="G20" s="64" t="str">
        <f t="shared" si="10"/>
        <v/>
      </c>
      <c r="H20" s="64" t="str">
        <f t="shared" si="11"/>
        <v/>
      </c>
    </row>
    <row r="21" spans="1:8" hidden="1" outlineLevel="1" x14ac:dyDescent="0.2">
      <c r="A21" s="36"/>
      <c r="B21" s="135"/>
      <c r="C21" s="136"/>
      <c r="D21" s="64" t="s">
        <v>1236</v>
      </c>
      <c r="E21" s="64" t="str">
        <f t="shared" si="8"/>
        <v/>
      </c>
      <c r="F21" s="64" t="str">
        <f t="shared" si="9"/>
        <v/>
      </c>
      <c r="G21" s="64" t="str">
        <f t="shared" si="10"/>
        <v/>
      </c>
      <c r="H21" s="64" t="str">
        <f t="shared" si="11"/>
        <v/>
      </c>
    </row>
    <row r="22" spans="1:8" hidden="1" outlineLevel="1" x14ac:dyDescent="0.2">
      <c r="A22" s="36"/>
      <c r="B22" s="135"/>
      <c r="C22" s="136"/>
      <c r="D22" s="64" t="s">
        <v>1236</v>
      </c>
      <c r="E22" s="64" t="str">
        <f t="shared" si="8"/>
        <v/>
      </c>
      <c r="F22" s="64" t="str">
        <f t="shared" si="9"/>
        <v/>
      </c>
      <c r="G22" s="64" t="str">
        <f t="shared" si="10"/>
        <v/>
      </c>
      <c r="H22" s="64" t="str">
        <f t="shared" si="11"/>
        <v/>
      </c>
    </row>
    <row r="23" spans="1:8" hidden="1" outlineLevel="1" x14ac:dyDescent="0.2">
      <c r="A23" s="36"/>
      <c r="B23" s="135"/>
      <c r="C23" s="136"/>
      <c r="D23" s="64" t="s">
        <v>1236</v>
      </c>
      <c r="E23" s="64" t="str">
        <f t="shared" si="8"/>
        <v/>
      </c>
      <c r="F23" s="64" t="str">
        <f t="shared" si="9"/>
        <v/>
      </c>
      <c r="G23" s="64" t="str">
        <f t="shared" si="10"/>
        <v/>
      </c>
      <c r="H23" s="64" t="str">
        <f t="shared" si="11"/>
        <v/>
      </c>
    </row>
    <row r="24" spans="1:8" hidden="1" outlineLevel="1" x14ac:dyDescent="0.2">
      <c r="A24" s="36"/>
      <c r="B24" s="135"/>
      <c r="C24" s="136"/>
      <c r="D24" s="64" t="s">
        <v>1236</v>
      </c>
      <c r="E24" s="64" t="str">
        <f t="shared" si="8"/>
        <v/>
      </c>
      <c r="F24" s="64" t="str">
        <f t="shared" si="9"/>
        <v/>
      </c>
      <c r="G24" s="64" t="str">
        <f t="shared" si="10"/>
        <v/>
      </c>
      <c r="H24" s="64" t="str">
        <f t="shared" si="11"/>
        <v/>
      </c>
    </row>
    <row r="25" spans="1:8" collapsed="1" x14ac:dyDescent="0.2">
      <c r="A25" s="36"/>
      <c r="B25" s="135" t="s">
        <v>94</v>
      </c>
      <c r="C25" s="137" t="s">
        <v>941</v>
      </c>
      <c r="D25" s="64">
        <v>464</v>
      </c>
      <c r="E25" s="64">
        <f t="shared" si="8"/>
        <v>472.35200000000003</v>
      </c>
      <c r="F25" s="64">
        <f t="shared" si="9"/>
        <v>483.21609599999999</v>
      </c>
      <c r="G25" s="64">
        <f t="shared" si="10"/>
        <v>495.29649839999996</v>
      </c>
      <c r="H25" s="64">
        <f t="shared" si="11"/>
        <v>508.66950385679991</v>
      </c>
    </row>
    <row r="26" spans="1:8" x14ac:dyDescent="0.2">
      <c r="A26" s="36"/>
      <c r="B26" s="33" t="s">
        <v>558</v>
      </c>
      <c r="C26" s="34" t="s">
        <v>721</v>
      </c>
      <c r="D26" s="172">
        <f>IF(SUM(D8:D25)&gt;0,SUM(D8:D25),"")</f>
        <v>46245</v>
      </c>
      <c r="E26" s="172">
        <f>IF(SUM(E8:E25)&gt;0,SUM(E8:E25),"")</f>
        <v>53111.281999999999</v>
      </c>
      <c r="F26" s="172">
        <f>IF(SUM(F8:F25)&gt;0,SUM(F8:F25),"")</f>
        <v>54332.841485999998</v>
      </c>
      <c r="G26" s="172">
        <f>IF(SUM(G8:G25)&gt;0,SUM(G8:G25),"")</f>
        <v>55691.162523149993</v>
      </c>
      <c r="H26" s="172">
        <f>IF(SUM(H8:H25)&gt;0,SUM(H8:H25),"")</f>
        <v>57194.823911275045</v>
      </c>
    </row>
    <row r="27" spans="1:8" x14ac:dyDescent="0.2">
      <c r="A27" s="36"/>
      <c r="B27" s="4"/>
      <c r="C27" s="3"/>
      <c r="D27" s="178"/>
      <c r="E27" s="178"/>
      <c r="F27" s="178"/>
      <c r="G27" s="178"/>
      <c r="H27" s="178"/>
    </row>
    <row r="28" spans="1:8" x14ac:dyDescent="0.2">
      <c r="A28" s="5" t="s">
        <v>722</v>
      </c>
      <c r="B28" s="4"/>
      <c r="C28" s="3"/>
      <c r="D28" s="178"/>
      <c r="E28" s="178"/>
      <c r="F28" s="178"/>
      <c r="G28" s="178"/>
      <c r="H28" s="178"/>
    </row>
    <row r="29" spans="1:8" x14ac:dyDescent="0.2">
      <c r="A29" s="36"/>
      <c r="B29" s="135" t="s">
        <v>98</v>
      </c>
      <c r="C29" s="136" t="s">
        <v>597</v>
      </c>
      <c r="D29" s="64">
        <v>4953</v>
      </c>
      <c r="E29" s="64">
        <f t="shared" ref="E29:E33" si="12">IF(D29="","",D29*(1+E$3))</f>
        <v>5042.1540000000005</v>
      </c>
      <c r="F29" s="64">
        <f t="shared" ref="F29:F33" si="13">IF(E29="","",E29*(1+F$3))</f>
        <v>5158.1235420000003</v>
      </c>
      <c r="G29" s="64">
        <f t="shared" ref="G29:G33" si="14">IF(F29="","",F29*(1+G$3))</f>
        <v>5287.0766305500001</v>
      </c>
      <c r="H29" s="64">
        <f t="shared" ref="H29:H33" si="15">IF(G29="","",G29*(1+H$3))</f>
        <v>5429.8276995748492</v>
      </c>
    </row>
    <row r="30" spans="1:8" x14ac:dyDescent="0.2">
      <c r="A30" s="36"/>
      <c r="B30" s="135" t="s">
        <v>550</v>
      </c>
      <c r="C30" s="136" t="s">
        <v>598</v>
      </c>
      <c r="D30" s="64">
        <v>1296</v>
      </c>
      <c r="E30" s="64">
        <f t="shared" si="12"/>
        <v>1319.328</v>
      </c>
      <c r="F30" s="64">
        <f t="shared" si="13"/>
        <v>1349.6725439999998</v>
      </c>
      <c r="G30" s="64">
        <f t="shared" si="14"/>
        <v>1383.4143575999997</v>
      </c>
      <c r="H30" s="64">
        <f t="shared" si="15"/>
        <v>1420.7665452551996</v>
      </c>
    </row>
    <row r="31" spans="1:8" x14ac:dyDescent="0.2">
      <c r="A31" s="36"/>
      <c r="B31" s="135" t="s">
        <v>100</v>
      </c>
      <c r="C31" s="136" t="s">
        <v>599</v>
      </c>
      <c r="D31" s="64">
        <v>7612</v>
      </c>
      <c r="E31" s="64">
        <f t="shared" si="12"/>
        <v>7749.0160000000005</v>
      </c>
      <c r="F31" s="64">
        <f t="shared" si="13"/>
        <v>7927.2433679999995</v>
      </c>
      <c r="G31" s="64">
        <f t="shared" si="14"/>
        <v>8125.424452199999</v>
      </c>
      <c r="H31" s="64">
        <f t="shared" si="15"/>
        <v>8344.810912409399</v>
      </c>
    </row>
    <row r="32" spans="1:8" x14ac:dyDescent="0.2">
      <c r="A32" s="36"/>
      <c r="B32" s="135" t="s">
        <v>102</v>
      </c>
      <c r="C32" s="136" t="s">
        <v>600</v>
      </c>
      <c r="D32" s="64">
        <v>14876</v>
      </c>
      <c r="E32" s="64">
        <f t="shared" si="12"/>
        <v>15143.768</v>
      </c>
      <c r="F32" s="64">
        <f t="shared" si="13"/>
        <v>15492.074663999998</v>
      </c>
      <c r="G32" s="64">
        <f t="shared" si="14"/>
        <v>15879.376530599997</v>
      </c>
      <c r="H32" s="64">
        <f t="shared" si="15"/>
        <v>16308.119696926195</v>
      </c>
    </row>
    <row r="33" spans="1:8" x14ac:dyDescent="0.2">
      <c r="A33" s="36"/>
      <c r="B33" s="135" t="s">
        <v>108</v>
      </c>
      <c r="C33" s="136" t="s">
        <v>601</v>
      </c>
      <c r="D33" s="64">
        <v>8353</v>
      </c>
      <c r="E33" s="64">
        <f t="shared" si="12"/>
        <v>8503.3539999999994</v>
      </c>
      <c r="F33" s="64">
        <f t="shared" si="13"/>
        <v>8698.9311419999995</v>
      </c>
      <c r="G33" s="64">
        <f t="shared" si="14"/>
        <v>8916.4044205499995</v>
      </c>
      <c r="H33" s="64">
        <f t="shared" si="15"/>
        <v>9157.1473399048482</v>
      </c>
    </row>
    <row r="34" spans="1:8" x14ac:dyDescent="0.2">
      <c r="A34" s="36"/>
      <c r="B34" s="135" t="s">
        <v>680</v>
      </c>
      <c r="C34" s="136" t="s">
        <v>602</v>
      </c>
      <c r="D34" s="64">
        <v>0</v>
      </c>
      <c r="E34" s="64">
        <f t="shared" ref="E34" si="16">IF(D34="","",D34*(1+E$3))</f>
        <v>0</v>
      </c>
      <c r="F34" s="64">
        <f t="shared" ref="F34" si="17">IF(E34="","",E34*(1+F$3))</f>
        <v>0</v>
      </c>
      <c r="G34" s="64">
        <f t="shared" ref="G34" si="18">IF(F34="","",F34*(1+G$3))</f>
        <v>0</v>
      </c>
      <c r="H34" s="64">
        <f t="shared" ref="H34" si="19">IF(G34="","",G34*(1+H$3))</f>
        <v>0</v>
      </c>
    </row>
    <row r="35" spans="1:8" x14ac:dyDescent="0.2">
      <c r="A35" s="36"/>
      <c r="B35" s="135" t="s">
        <v>681</v>
      </c>
      <c r="C35" s="136" t="s">
        <v>942</v>
      </c>
      <c r="D35" s="64">
        <v>0</v>
      </c>
      <c r="E35" s="64">
        <f t="shared" ref="E35:H47" si="20">IF(D35="","",D35*(1+E$3))</f>
        <v>0</v>
      </c>
      <c r="F35" s="64">
        <f t="shared" si="20"/>
        <v>0</v>
      </c>
      <c r="G35" s="64">
        <f t="shared" si="20"/>
        <v>0</v>
      </c>
      <c r="H35" s="64">
        <f t="shared" si="20"/>
        <v>0</v>
      </c>
    </row>
    <row r="36" spans="1:8" x14ac:dyDescent="0.2">
      <c r="A36" s="36"/>
      <c r="B36" s="135" t="s">
        <v>110</v>
      </c>
      <c r="C36" s="136" t="s">
        <v>603</v>
      </c>
      <c r="D36" s="64">
        <v>51060</v>
      </c>
      <c r="E36" s="64">
        <v>52078.2</v>
      </c>
      <c r="F36" s="64">
        <f t="shared" si="20"/>
        <v>53275.998599999992</v>
      </c>
      <c r="G36" s="64">
        <f t="shared" si="20"/>
        <v>54607.898564999989</v>
      </c>
      <c r="H36" s="64">
        <f t="shared" si="20"/>
        <v>56082.311826254983</v>
      </c>
    </row>
    <row r="37" spans="1:8" x14ac:dyDescent="0.2">
      <c r="A37" s="36"/>
      <c r="B37" s="135" t="s">
        <v>682</v>
      </c>
      <c r="C37" s="136" t="s">
        <v>604</v>
      </c>
      <c r="D37" s="64">
        <v>799</v>
      </c>
      <c r="E37" s="64">
        <f t="shared" si="20"/>
        <v>813.38200000000006</v>
      </c>
      <c r="F37" s="64">
        <f t="shared" si="20"/>
        <v>832.089786</v>
      </c>
      <c r="G37" s="64">
        <f t="shared" si="20"/>
        <v>852.89203064999992</v>
      </c>
      <c r="H37" s="64">
        <f t="shared" si="20"/>
        <v>875.92011547754987</v>
      </c>
    </row>
    <row r="38" spans="1:8" x14ac:dyDescent="0.2">
      <c r="A38" s="36"/>
      <c r="B38" s="159" t="s">
        <v>943</v>
      </c>
      <c r="C38" s="137" t="s">
        <v>944</v>
      </c>
      <c r="D38" s="64">
        <v>1120</v>
      </c>
      <c r="E38" s="64">
        <f t="shared" si="20"/>
        <v>1140.1600000000001</v>
      </c>
      <c r="F38" s="64">
        <f t="shared" si="20"/>
        <v>1166.3836799999999</v>
      </c>
      <c r="G38" s="64">
        <f t="shared" si="20"/>
        <v>1195.5432719999999</v>
      </c>
      <c r="H38" s="64">
        <f t="shared" si="20"/>
        <v>1227.8229403439998</v>
      </c>
    </row>
    <row r="39" spans="1:8" x14ac:dyDescent="0.2">
      <c r="A39" s="36"/>
      <c r="B39" s="135" t="s">
        <v>551</v>
      </c>
      <c r="C39" s="136" t="s">
        <v>605</v>
      </c>
      <c r="D39" s="64">
        <v>1358</v>
      </c>
      <c r="E39" s="64">
        <f t="shared" si="20"/>
        <v>1382.444</v>
      </c>
      <c r="F39" s="64">
        <f t="shared" si="20"/>
        <v>1414.2402119999999</v>
      </c>
      <c r="G39" s="64">
        <f t="shared" si="20"/>
        <v>1449.5962172999998</v>
      </c>
      <c r="H39" s="64">
        <f t="shared" si="20"/>
        <v>1488.7353151670998</v>
      </c>
    </row>
    <row r="40" spans="1:8" x14ac:dyDescent="0.2">
      <c r="A40" s="36"/>
      <c r="B40" s="159" t="s">
        <v>552</v>
      </c>
      <c r="C40" s="137" t="s">
        <v>606</v>
      </c>
      <c r="D40" s="64">
        <v>712</v>
      </c>
      <c r="E40" s="64">
        <f t="shared" si="20"/>
        <v>724.81600000000003</v>
      </c>
      <c r="F40" s="64">
        <f t="shared" si="20"/>
        <v>741.48676799999998</v>
      </c>
      <c r="G40" s="64">
        <f t="shared" si="20"/>
        <v>760.02393719999986</v>
      </c>
      <c r="H40" s="64">
        <f t="shared" si="20"/>
        <v>780.54458350439984</v>
      </c>
    </row>
    <row r="41" spans="1:8" x14ac:dyDescent="0.2">
      <c r="A41" s="36"/>
      <c r="B41" s="135" t="s">
        <v>116</v>
      </c>
      <c r="C41" s="136" t="s">
        <v>607</v>
      </c>
      <c r="D41" s="64">
        <v>47030</v>
      </c>
      <c r="E41" s="64">
        <f>IF(D41="","",D41*(1+E$3))+6000</f>
        <v>53876.54</v>
      </c>
      <c r="F41" s="64">
        <f t="shared" si="20"/>
        <v>55115.700419999994</v>
      </c>
      <c r="G41" s="64">
        <f t="shared" si="20"/>
        <v>56493.592930499988</v>
      </c>
      <c r="H41" s="64">
        <f t="shared" si="20"/>
        <v>58018.919939623484</v>
      </c>
    </row>
    <row r="42" spans="1:8" x14ac:dyDescent="0.2">
      <c r="A42" s="36"/>
      <c r="B42" s="135" t="s">
        <v>683</v>
      </c>
      <c r="C42" s="136" t="s">
        <v>608</v>
      </c>
      <c r="D42" s="64">
        <v>2443</v>
      </c>
      <c r="E42" s="64">
        <f t="shared" si="20"/>
        <v>2486.9740000000002</v>
      </c>
      <c r="F42" s="64">
        <f t="shared" si="20"/>
        <v>2544.1744020000001</v>
      </c>
      <c r="G42" s="64">
        <f t="shared" si="20"/>
        <v>2607.7787620499998</v>
      </c>
      <c r="H42" s="64">
        <f t="shared" si="20"/>
        <v>2678.1887886253494</v>
      </c>
    </row>
    <row r="43" spans="1:8" x14ac:dyDescent="0.2">
      <c r="A43" s="36"/>
      <c r="B43" s="135" t="s">
        <v>684</v>
      </c>
      <c r="C43" s="136" t="s">
        <v>945</v>
      </c>
      <c r="D43" s="64">
        <v>8400</v>
      </c>
      <c r="E43" s="64">
        <f t="shared" si="20"/>
        <v>8551.2000000000007</v>
      </c>
      <c r="F43" s="64">
        <f t="shared" si="20"/>
        <v>8747.8775999999998</v>
      </c>
      <c r="G43" s="64">
        <f t="shared" si="20"/>
        <v>8966.5745399999996</v>
      </c>
      <c r="H43" s="64">
        <f t="shared" si="20"/>
        <v>9208.6720525799992</v>
      </c>
    </row>
    <row r="44" spans="1:8" x14ac:dyDescent="0.2">
      <c r="A44" s="36"/>
      <c r="B44" s="135" t="s">
        <v>553</v>
      </c>
      <c r="C44" s="136" t="s">
        <v>609</v>
      </c>
      <c r="D44" s="64">
        <v>43306</v>
      </c>
      <c r="E44" s="64">
        <f>IF(D44="","",D44*(1+E$3))-13500</f>
        <v>30585.508000000002</v>
      </c>
      <c r="F44" s="64">
        <f t="shared" si="20"/>
        <v>31288.974684000001</v>
      </c>
      <c r="G44" s="64">
        <f t="shared" si="20"/>
        <v>32071.199051099997</v>
      </c>
      <c r="H44" s="64">
        <f t="shared" si="20"/>
        <v>32937.121425479694</v>
      </c>
    </row>
    <row r="45" spans="1:8" x14ac:dyDescent="0.2">
      <c r="A45" s="36"/>
      <c r="B45" s="159" t="s">
        <v>841</v>
      </c>
      <c r="C45" s="137" t="s">
        <v>842</v>
      </c>
      <c r="D45" s="64">
        <v>592</v>
      </c>
      <c r="E45" s="64">
        <f t="shared" si="20"/>
        <v>602.65600000000006</v>
      </c>
      <c r="F45" s="64">
        <f t="shared" si="20"/>
        <v>616.51708800000006</v>
      </c>
      <c r="G45" s="64">
        <f t="shared" si="20"/>
        <v>631.93001519999996</v>
      </c>
      <c r="H45" s="64">
        <f t="shared" si="20"/>
        <v>648.99212561039985</v>
      </c>
    </row>
    <row r="46" spans="1:8" x14ac:dyDescent="0.2">
      <c r="A46" s="36"/>
      <c r="B46" s="159" t="s">
        <v>843</v>
      </c>
      <c r="C46" s="137" t="s">
        <v>614</v>
      </c>
      <c r="D46" s="64">
        <v>39508</v>
      </c>
      <c r="E46" s="64">
        <f t="shared" si="20"/>
        <v>40219.144</v>
      </c>
      <c r="F46" s="64">
        <f t="shared" si="20"/>
        <v>41144.184311999998</v>
      </c>
      <c r="G46" s="64">
        <f t="shared" si="20"/>
        <v>42172.78891979999</v>
      </c>
      <c r="H46" s="64">
        <f t="shared" si="20"/>
        <v>43311.454220634587</v>
      </c>
    </row>
    <row r="47" spans="1:8" x14ac:dyDescent="0.2">
      <c r="A47" s="36"/>
      <c r="B47" s="159" t="s">
        <v>1209</v>
      </c>
      <c r="C47" s="136" t="s">
        <v>616</v>
      </c>
      <c r="D47" s="64">
        <f>0.01*SUM('Revenue Input'!D8:D10)</f>
        <v>8686.9338047452002</v>
      </c>
      <c r="E47" s="64">
        <f t="shared" si="20"/>
        <v>8843.2986132306141</v>
      </c>
      <c r="F47" s="64">
        <f t="shared" si="20"/>
        <v>9046.6944813349182</v>
      </c>
      <c r="G47" s="64">
        <f t="shared" si="20"/>
        <v>9272.8618433682896</v>
      </c>
      <c r="H47" s="64">
        <f t="shared" si="20"/>
        <v>9523.2291131392321</v>
      </c>
    </row>
    <row r="48" spans="1:8" x14ac:dyDescent="0.2">
      <c r="A48" s="36"/>
      <c r="B48" s="159" t="s">
        <v>844</v>
      </c>
      <c r="C48" s="137" t="s">
        <v>845</v>
      </c>
      <c r="D48" s="64">
        <v>276</v>
      </c>
      <c r="E48" s="64">
        <f>IF(D48="","",D48*(1+E$3))</f>
        <v>280.96800000000002</v>
      </c>
      <c r="F48" s="64">
        <f t="shared" ref="F48:H48" si="21">IF(E48="","",E48*(1+F$3))</f>
        <v>287.43026399999997</v>
      </c>
      <c r="G48" s="64">
        <f t="shared" si="21"/>
        <v>294.61602059999996</v>
      </c>
      <c r="H48" s="64">
        <f t="shared" si="21"/>
        <v>302.57065315619991</v>
      </c>
    </row>
    <row r="49" spans="1:8" x14ac:dyDescent="0.2">
      <c r="A49" s="36"/>
      <c r="B49" s="159" t="s">
        <v>846</v>
      </c>
      <c r="C49" s="137" t="s">
        <v>847</v>
      </c>
      <c r="D49" s="64"/>
      <c r="E49" s="64"/>
      <c r="F49" s="64"/>
      <c r="G49" s="64"/>
      <c r="H49" s="64"/>
    </row>
    <row r="50" spans="1:8" x14ac:dyDescent="0.2">
      <c r="A50" s="36"/>
      <c r="B50" s="159" t="s">
        <v>848</v>
      </c>
      <c r="C50" s="137" t="s">
        <v>849</v>
      </c>
      <c r="D50" s="64"/>
      <c r="E50" s="64"/>
      <c r="F50" s="64"/>
      <c r="G50" s="64"/>
      <c r="H50" s="64"/>
    </row>
    <row r="51" spans="1:8" x14ac:dyDescent="0.2">
      <c r="A51" s="36"/>
      <c r="B51" s="135" t="s">
        <v>118</v>
      </c>
      <c r="C51" s="136" t="s">
        <v>610</v>
      </c>
      <c r="D51" s="64">
        <v>3808</v>
      </c>
      <c r="E51" s="64">
        <f t="shared" ref="E51:H51" si="22">IF(D51="","",D51*(1+E$3))</f>
        <v>3876.5439999999999</v>
      </c>
      <c r="F51" s="64">
        <f t="shared" si="22"/>
        <v>3965.7045119999993</v>
      </c>
      <c r="G51" s="64">
        <f t="shared" si="22"/>
        <v>4064.8471247999992</v>
      </c>
      <c r="H51" s="64">
        <f t="shared" si="22"/>
        <v>4174.5979971695988</v>
      </c>
    </row>
    <row r="52" spans="1:8" hidden="1" outlineLevel="1" x14ac:dyDescent="0.2">
      <c r="A52" s="36"/>
      <c r="B52" s="135"/>
      <c r="C52" s="136"/>
      <c r="D52" s="64"/>
      <c r="E52" s="64"/>
      <c r="F52" s="64"/>
      <c r="G52" s="64"/>
      <c r="H52" s="64"/>
    </row>
    <row r="53" spans="1:8" hidden="1" outlineLevel="1" x14ac:dyDescent="0.2">
      <c r="A53" s="36"/>
      <c r="B53" s="135"/>
      <c r="C53" s="136"/>
      <c r="D53" s="64"/>
      <c r="E53" s="64" t="str">
        <f t="shared" ref="E53:E54" si="23">IF(D53="","",D53*(1+E$3))</f>
        <v/>
      </c>
      <c r="F53" s="64" t="str">
        <f t="shared" ref="F53:F54" si="24">IF(E53="","",E53*(1+F$3))</f>
        <v/>
      </c>
      <c r="G53" s="64" t="str">
        <f t="shared" ref="G53:G54" si="25">IF(F53="","",F53*(1+G$3))</f>
        <v/>
      </c>
      <c r="H53" s="64" t="str">
        <f t="shared" ref="H53:H54" si="26">IF(G53="","",G53*(1+H$3))</f>
        <v/>
      </c>
    </row>
    <row r="54" spans="1:8" hidden="1" outlineLevel="1" x14ac:dyDescent="0.2">
      <c r="A54" s="36"/>
      <c r="B54" s="135"/>
      <c r="C54" s="136"/>
      <c r="D54" s="64"/>
      <c r="E54" s="64" t="str">
        <f t="shared" si="23"/>
        <v/>
      </c>
      <c r="F54" s="64" t="str">
        <f t="shared" si="24"/>
        <v/>
      </c>
      <c r="G54" s="64" t="str">
        <f t="shared" si="25"/>
        <v/>
      </c>
      <c r="H54" s="64" t="str">
        <f t="shared" si="26"/>
        <v/>
      </c>
    </row>
    <row r="55" spans="1:8" hidden="1" outlineLevel="1" x14ac:dyDescent="0.2">
      <c r="A55" s="36"/>
      <c r="B55" s="135"/>
      <c r="C55" s="136"/>
      <c r="D55" s="64"/>
      <c r="E55" s="64" t="str">
        <f t="shared" ref="E55:E62" si="27">IF(D55="","",D55*(1+E$3))</f>
        <v/>
      </c>
      <c r="F55" s="64" t="str">
        <f t="shared" ref="F55:F62" si="28">IF(E55="","",E55*(1+F$3))</f>
        <v/>
      </c>
      <c r="G55" s="64" t="str">
        <f t="shared" ref="G55:G62" si="29">IF(F55="","",F55*(1+G$3))</f>
        <v/>
      </c>
      <c r="H55" s="64" t="str">
        <f t="shared" ref="H55:H62" si="30">IF(G55="","",G55*(1+H$3))</f>
        <v/>
      </c>
    </row>
    <row r="56" spans="1:8" hidden="1" outlineLevel="1" x14ac:dyDescent="0.2">
      <c r="A56" s="36"/>
      <c r="B56" s="135"/>
      <c r="C56" s="136"/>
      <c r="D56" s="64"/>
      <c r="E56" s="64" t="str">
        <f t="shared" si="27"/>
        <v/>
      </c>
      <c r="F56" s="64" t="str">
        <f t="shared" si="28"/>
        <v/>
      </c>
      <c r="G56" s="64" t="str">
        <f t="shared" si="29"/>
        <v/>
      </c>
      <c r="H56" s="64" t="str">
        <f t="shared" si="30"/>
        <v/>
      </c>
    </row>
    <row r="57" spans="1:8" hidden="1" outlineLevel="1" x14ac:dyDescent="0.2">
      <c r="A57" s="36"/>
      <c r="B57" s="135"/>
      <c r="C57" s="136"/>
      <c r="D57" s="64"/>
      <c r="E57" s="64" t="str">
        <f t="shared" si="27"/>
        <v/>
      </c>
      <c r="F57" s="64" t="str">
        <f t="shared" si="28"/>
        <v/>
      </c>
      <c r="G57" s="64" t="str">
        <f t="shared" si="29"/>
        <v/>
      </c>
      <c r="H57" s="64" t="str">
        <f t="shared" si="30"/>
        <v/>
      </c>
    </row>
    <row r="58" spans="1:8" hidden="1" outlineLevel="1" x14ac:dyDescent="0.2">
      <c r="A58" s="36"/>
      <c r="B58" s="135"/>
      <c r="C58" s="136"/>
      <c r="D58" s="64"/>
      <c r="E58" s="64" t="str">
        <f t="shared" si="27"/>
        <v/>
      </c>
      <c r="F58" s="64" t="str">
        <f t="shared" si="28"/>
        <v/>
      </c>
      <c r="G58" s="64" t="str">
        <f t="shared" si="29"/>
        <v/>
      </c>
      <c r="H58" s="64" t="str">
        <f t="shared" si="30"/>
        <v/>
      </c>
    </row>
    <row r="59" spans="1:8" hidden="1" outlineLevel="1" x14ac:dyDescent="0.2">
      <c r="A59" s="36"/>
      <c r="B59" s="135"/>
      <c r="C59" s="136"/>
      <c r="D59" s="64"/>
      <c r="E59" s="64" t="str">
        <f t="shared" si="27"/>
        <v/>
      </c>
      <c r="F59" s="64" t="str">
        <f t="shared" si="28"/>
        <v/>
      </c>
      <c r="G59" s="64" t="str">
        <f t="shared" si="29"/>
        <v/>
      </c>
      <c r="H59" s="64" t="str">
        <f t="shared" si="30"/>
        <v/>
      </c>
    </row>
    <row r="60" spans="1:8" hidden="1" outlineLevel="1" x14ac:dyDescent="0.2">
      <c r="A60" s="36"/>
      <c r="B60" s="135"/>
      <c r="C60" s="136"/>
      <c r="D60" s="64"/>
      <c r="E60" s="64" t="str">
        <f t="shared" si="27"/>
        <v/>
      </c>
      <c r="F60" s="64" t="str">
        <f t="shared" si="28"/>
        <v/>
      </c>
      <c r="G60" s="64" t="str">
        <f t="shared" si="29"/>
        <v/>
      </c>
      <c r="H60" s="64" t="str">
        <f t="shared" si="30"/>
        <v/>
      </c>
    </row>
    <row r="61" spans="1:8" hidden="1" outlineLevel="1" x14ac:dyDescent="0.2">
      <c r="A61" s="36"/>
      <c r="B61" s="159"/>
      <c r="C61" s="137"/>
      <c r="D61" s="64"/>
      <c r="E61" s="64" t="str">
        <f t="shared" si="27"/>
        <v/>
      </c>
      <c r="F61" s="64" t="str">
        <f t="shared" si="28"/>
        <v/>
      </c>
      <c r="G61" s="64" t="str">
        <f t="shared" si="29"/>
        <v/>
      </c>
      <c r="H61" s="64" t="str">
        <f t="shared" si="30"/>
        <v/>
      </c>
    </row>
    <row r="62" spans="1:8" collapsed="1" x14ac:dyDescent="0.2">
      <c r="A62" s="36"/>
      <c r="B62" s="159" t="s">
        <v>946</v>
      </c>
      <c r="C62" s="137" t="s">
        <v>947</v>
      </c>
      <c r="D62" s="64"/>
      <c r="E62" s="64" t="str">
        <f t="shared" si="27"/>
        <v/>
      </c>
      <c r="F62" s="64" t="str">
        <f t="shared" si="28"/>
        <v/>
      </c>
      <c r="G62" s="64" t="str">
        <f t="shared" si="29"/>
        <v/>
      </c>
      <c r="H62" s="64" t="str">
        <f t="shared" si="30"/>
        <v/>
      </c>
    </row>
    <row r="63" spans="1:8" x14ac:dyDescent="0.2">
      <c r="A63" s="36"/>
      <c r="B63" s="33" t="s">
        <v>559</v>
      </c>
      <c r="C63" s="34" t="s">
        <v>721</v>
      </c>
      <c r="D63" s="172">
        <f>IF(SUM(D29:D62)&gt;0,SUM(D29:D62),"")</f>
        <v>246188.9338047452</v>
      </c>
      <c r="E63" s="172">
        <f>IF(SUM(E28:E62)&gt;0,SUM(E28:E62),"")</f>
        <v>243219.4546132306</v>
      </c>
      <c r="F63" s="172">
        <f>IF(SUM(F28:F62)&gt;0,SUM(F28:F62),"")</f>
        <v>248813.50206933491</v>
      </c>
      <c r="G63" s="172">
        <f>IF(SUM(G28:G62)&gt;0,SUM(G28:G62),"")</f>
        <v>255033.83962106824</v>
      </c>
      <c r="H63" s="172">
        <f>IF(SUM(H28:H62)&gt;0,SUM(H28:H62),"")</f>
        <v>261919.75329083708</v>
      </c>
    </row>
    <row r="64" spans="1:8" x14ac:dyDescent="0.2">
      <c r="A64" s="36"/>
      <c r="B64" s="4"/>
      <c r="C64" s="3"/>
      <c r="D64" s="178"/>
      <c r="E64" s="178"/>
      <c r="F64" s="178"/>
      <c r="G64" s="178"/>
      <c r="H64" s="178"/>
    </row>
    <row r="65" spans="1:8" x14ac:dyDescent="0.2">
      <c r="A65" s="34" t="s">
        <v>723</v>
      </c>
      <c r="B65" s="4"/>
      <c r="C65" s="3"/>
      <c r="D65" s="178"/>
      <c r="E65" s="178"/>
      <c r="F65" s="178"/>
      <c r="G65" s="178"/>
      <c r="H65" s="178"/>
    </row>
    <row r="66" spans="1:8" x14ac:dyDescent="0.2">
      <c r="A66" s="36"/>
      <c r="B66" s="135" t="s">
        <v>132</v>
      </c>
      <c r="C66" s="136" t="s">
        <v>133</v>
      </c>
      <c r="D66" s="177">
        <v>2824</v>
      </c>
      <c r="E66" s="177">
        <v>2824</v>
      </c>
      <c r="F66" s="177">
        <v>2824</v>
      </c>
      <c r="G66" s="177">
        <v>2824</v>
      </c>
      <c r="H66" s="177">
        <v>2824</v>
      </c>
    </row>
    <row r="67" spans="1:8" x14ac:dyDescent="0.2">
      <c r="A67" s="36"/>
      <c r="B67" s="33" t="s">
        <v>560</v>
      </c>
      <c r="C67" s="34" t="s">
        <v>721</v>
      </c>
      <c r="D67" s="172">
        <f>IF(SUM(D65:D66)&gt;0,SUM(D65:D66),"")</f>
        <v>2824</v>
      </c>
      <c r="E67" s="172">
        <f>IF(SUM(E65:E66)&gt;0,SUM(E65:E66),"")</f>
        <v>2824</v>
      </c>
      <c r="F67" s="172">
        <f>IF(SUM(F65:F66)&gt;0,SUM(F65:F66),"")</f>
        <v>2824</v>
      </c>
      <c r="G67" s="172">
        <f>IF(SUM(G65:G66)&gt;0,SUM(G65:G66),"")</f>
        <v>2824</v>
      </c>
      <c r="H67" s="172">
        <f>IF(SUM(H65:H66)&gt;0,SUM(H65:H66),"")</f>
        <v>2824</v>
      </c>
    </row>
    <row r="68" spans="1:8" x14ac:dyDescent="0.2">
      <c r="A68" s="36"/>
      <c r="B68" s="4"/>
      <c r="C68" s="3"/>
      <c r="D68" s="178"/>
      <c r="E68" s="179"/>
      <c r="F68" s="179"/>
      <c r="G68" s="178"/>
      <c r="H68" s="178"/>
    </row>
    <row r="69" spans="1:8" x14ac:dyDescent="0.2">
      <c r="A69" s="34" t="s">
        <v>724</v>
      </c>
      <c r="B69" s="4"/>
      <c r="C69" s="3"/>
      <c r="D69" s="178"/>
      <c r="E69" s="179"/>
      <c r="F69" s="179"/>
      <c r="G69" s="178"/>
      <c r="H69" s="178"/>
    </row>
    <row r="70" spans="1:8" x14ac:dyDescent="0.2">
      <c r="A70" s="36"/>
      <c r="B70" s="159" t="s">
        <v>685</v>
      </c>
      <c r="C70" s="136" t="s">
        <v>612</v>
      </c>
      <c r="D70" s="64"/>
      <c r="E70" s="64" t="str">
        <f>IF(D70="","",D70*(1+E$3))</f>
        <v/>
      </c>
      <c r="F70" s="64" t="str">
        <f>IF(E70="","",E70*(1+F$3))</f>
        <v/>
      </c>
      <c r="G70" s="64" t="str">
        <f>IF(F70="","",F70*(1+G$3))</f>
        <v/>
      </c>
      <c r="H70" s="64" t="str">
        <f>IF(G70="","",G70*(1+H$3))</f>
        <v/>
      </c>
    </row>
    <row r="71" spans="1:8" x14ac:dyDescent="0.2">
      <c r="A71" s="36"/>
      <c r="B71" s="135" t="s">
        <v>554</v>
      </c>
      <c r="C71" s="137" t="s">
        <v>613</v>
      </c>
      <c r="D71" s="64">
        <f>669.09*'Student Info'!D64</f>
        <v>73078.0098</v>
      </c>
      <c r="E71" s="64">
        <f>669.09*'Student Info'!E64</f>
        <v>74824.334700000007</v>
      </c>
      <c r="F71" s="64">
        <f>669.09*'Student Info'!F64</f>
        <v>74824.334700000007</v>
      </c>
      <c r="G71" s="64">
        <f>669.09*'Student Info'!G64</f>
        <v>74824.334700000007</v>
      </c>
      <c r="H71" s="64">
        <f>669.09*'Student Info'!H64</f>
        <v>74824.334700000007</v>
      </c>
    </row>
    <row r="72" spans="1:8" x14ac:dyDescent="0.2">
      <c r="A72" s="36"/>
      <c r="B72" s="159" t="s">
        <v>184</v>
      </c>
      <c r="C72" s="137" t="s">
        <v>1200</v>
      </c>
      <c r="D72" s="64">
        <v>0</v>
      </c>
      <c r="E72" s="64">
        <f t="shared" ref="E72" si="31">IF(D72="","",D72*(1+E$3))</f>
        <v>0</v>
      </c>
      <c r="F72" s="64">
        <f t="shared" ref="F72" si="32">IF(E72="","",E72*(1+F$3))</f>
        <v>0</v>
      </c>
      <c r="G72" s="64">
        <f t="shared" ref="G72" si="33">IF(F72="","",F72*(1+G$3))</f>
        <v>0</v>
      </c>
      <c r="H72" s="64">
        <f t="shared" ref="H72" si="34">IF(G72="","",G72*(1+H$3))</f>
        <v>0</v>
      </c>
    </row>
    <row r="73" spans="1:8" x14ac:dyDescent="0.2">
      <c r="A73" s="36"/>
      <c r="B73" s="135" t="s">
        <v>561</v>
      </c>
      <c r="C73" s="136" t="s">
        <v>616</v>
      </c>
      <c r="D73" s="64"/>
      <c r="E73" s="64"/>
      <c r="F73" s="64"/>
      <c r="G73" s="64"/>
      <c r="H73" s="64"/>
    </row>
    <row r="74" spans="1:8" x14ac:dyDescent="0.2">
      <c r="A74" s="36"/>
      <c r="B74" s="33" t="s">
        <v>685</v>
      </c>
      <c r="C74" s="34" t="s">
        <v>725</v>
      </c>
      <c r="D74" s="172">
        <f>IF(SUM(D69:D73)&gt;0,SUM(D69:D73),"")</f>
        <v>73078.0098</v>
      </c>
      <c r="E74" s="172">
        <f>IF(SUM(E69:E73)&gt;0,SUM(E69:E73),"")</f>
        <v>74824.334700000007</v>
      </c>
      <c r="F74" s="172">
        <f>IF(SUM(F69:F73)&gt;0,SUM(F69:F73),"")</f>
        <v>74824.334700000007</v>
      </c>
      <c r="G74" s="172">
        <f>IF(SUM(G69:G73)&gt;0,SUM(G69:G73),"")</f>
        <v>74824.334700000007</v>
      </c>
      <c r="H74" s="172">
        <f>IF(SUM(H69:H73)&gt;0,SUM(H69:H73),"")</f>
        <v>74824.334700000007</v>
      </c>
    </row>
    <row r="75" spans="1:8" ht="17" thickBot="1" x14ac:dyDescent="0.25">
      <c r="A75" s="36"/>
      <c r="B75" s="4"/>
      <c r="C75" s="3"/>
      <c r="D75" s="180"/>
      <c r="E75" s="180"/>
      <c r="F75" s="180"/>
      <c r="G75" s="180"/>
      <c r="H75" s="180"/>
    </row>
    <row r="76" spans="1:8" x14ac:dyDescent="0.2">
      <c r="A76" s="34" t="s">
        <v>737</v>
      </c>
      <c r="B76" s="4"/>
      <c r="C76" s="3"/>
      <c r="D76" s="172">
        <f>IF(SUM(D26,D63,D67,D74)&gt;0,SUM(D26,D63,D67,D74),"")</f>
        <v>368335.9436047452</v>
      </c>
      <c r="E76" s="172">
        <f>IF(SUM(E26,E63,E67,E74)&gt;0,SUM(E26,E63,E67,E74),"")</f>
        <v>373979.07131323061</v>
      </c>
      <c r="F76" s="172">
        <f>IF(SUM(F26,F63,F67,F74)&gt;0,SUM(F26,F63,F67,F74),"")</f>
        <v>380794.6782553349</v>
      </c>
      <c r="G76" s="172">
        <f>IF(SUM(G26,G63,G67,G74)&gt;0,SUM(G26,G63,G67,G74),"")</f>
        <v>388373.33684421825</v>
      </c>
      <c r="H76" s="172">
        <f>IF(SUM(H26,H63,H67,H74)&gt;0,SUM(H26,H63,H67,H74),"")</f>
        <v>396762.91190211213</v>
      </c>
    </row>
    <row r="77" spans="1:8" x14ac:dyDescent="0.2">
      <c r="A77" s="36"/>
    </row>
    <row r="78" spans="1:8" x14ac:dyDescent="0.2">
      <c r="A78" s="36"/>
    </row>
    <row r="79" spans="1:8" x14ac:dyDescent="0.2">
      <c r="A79" s="36"/>
    </row>
    <row r="80" spans="1:8"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row r="122" spans="1:1" x14ac:dyDescent="0.2">
      <c r="A122" s="36"/>
    </row>
    <row r="123" spans="1:1" x14ac:dyDescent="0.2">
      <c r="A123" s="36"/>
    </row>
    <row r="124" spans="1:1" x14ac:dyDescent="0.2">
      <c r="A124" s="36"/>
    </row>
    <row r="125" spans="1:1" x14ac:dyDescent="0.2">
      <c r="A125" s="36"/>
    </row>
    <row r="126" spans="1:1" x14ac:dyDescent="0.2">
      <c r="A126" s="36"/>
    </row>
    <row r="127" spans="1:1" x14ac:dyDescent="0.2">
      <c r="A127" s="36"/>
    </row>
    <row r="128" spans="1:1" x14ac:dyDescent="0.2">
      <c r="A128" s="36"/>
    </row>
    <row r="129" spans="1:1" x14ac:dyDescent="0.2">
      <c r="A129" s="36"/>
    </row>
    <row r="130" spans="1:1" x14ac:dyDescent="0.2">
      <c r="A130" s="36"/>
    </row>
    <row r="131" spans="1:1" x14ac:dyDescent="0.2">
      <c r="A131" s="36"/>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6"/>
    </row>
    <row r="146" spans="1:1" x14ac:dyDescent="0.2">
      <c r="A146" s="36"/>
    </row>
    <row r="147" spans="1:1" x14ac:dyDescent="0.2">
      <c r="A147" s="36"/>
    </row>
    <row r="148" spans="1:1" x14ac:dyDescent="0.2">
      <c r="A148" s="36"/>
    </row>
    <row r="149" spans="1:1" x14ac:dyDescent="0.2">
      <c r="A149" s="36"/>
    </row>
    <row r="150" spans="1:1" x14ac:dyDescent="0.2">
      <c r="A150" s="36"/>
    </row>
    <row r="151" spans="1:1" x14ac:dyDescent="0.2">
      <c r="A151" s="36"/>
    </row>
    <row r="152" spans="1:1" x14ac:dyDescent="0.2">
      <c r="A152" s="36"/>
    </row>
    <row r="153" spans="1:1" x14ac:dyDescent="0.2">
      <c r="A153" s="36"/>
    </row>
    <row r="154" spans="1:1" x14ac:dyDescent="0.2">
      <c r="A154" s="36"/>
    </row>
    <row r="155" spans="1:1" x14ac:dyDescent="0.2">
      <c r="A155" s="36"/>
    </row>
    <row r="156" spans="1:1" x14ac:dyDescent="0.2">
      <c r="A156" s="36"/>
    </row>
    <row r="157" spans="1:1" x14ac:dyDescent="0.2">
      <c r="A157" s="36"/>
    </row>
    <row r="158" spans="1:1" x14ac:dyDescent="0.2">
      <c r="A158" s="36"/>
    </row>
    <row r="159" spans="1:1" x14ac:dyDescent="0.2">
      <c r="A159" s="36"/>
    </row>
    <row r="160" spans="1:1" x14ac:dyDescent="0.2">
      <c r="A160" s="36"/>
    </row>
    <row r="161" spans="1:1" x14ac:dyDescent="0.2">
      <c r="A161" s="36"/>
    </row>
    <row r="162" spans="1:1" x14ac:dyDescent="0.2">
      <c r="A162" s="36"/>
    </row>
    <row r="163" spans="1:1" x14ac:dyDescent="0.2">
      <c r="A163" s="36"/>
    </row>
    <row r="164" spans="1:1" x14ac:dyDescent="0.2">
      <c r="A164" s="36"/>
    </row>
    <row r="165" spans="1:1" x14ac:dyDescent="0.2">
      <c r="A165" s="36"/>
    </row>
  </sheetData>
  <pageMargins left="0.25" right="0.25" top="0.5" bottom="0.5" header="0.3" footer="0.3"/>
  <pageSetup scale="84" fitToHeight="2" orientation="landscape" r:id="rId1"/>
  <headerFooter alignWithMargins="0">
    <oddHeader>&amp;A</oddHeader>
    <oddFooter>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pageSetUpPr fitToPage="1"/>
  </sheetPr>
  <dimension ref="A1:P129"/>
  <sheetViews>
    <sheetView workbookViewId="0">
      <pane xSplit="3" ySplit="6" topLeftCell="D20" activePane="bottomRight" state="frozen"/>
      <selection activeCell="G18" sqref="G18"/>
      <selection pane="topRight" activeCell="G18" sqref="G18"/>
      <selection pane="bottomLeft" activeCell="G18" sqref="G18"/>
      <selection pane="bottomRight" activeCell="D44" sqref="D44"/>
    </sheetView>
  </sheetViews>
  <sheetFormatPr baseColWidth="10" defaultColWidth="8.83203125" defaultRowHeight="16" outlineLevelRow="1" outlineLevelCol="1" x14ac:dyDescent="0.2"/>
  <cols>
    <col min="1" max="1" width="5.6640625" style="35" customWidth="1"/>
    <col min="2" max="2" width="5.1640625" style="40" customWidth="1"/>
    <col min="3" max="3" width="42.5" style="1" customWidth="1"/>
    <col min="4" max="4" width="20.33203125" style="31" bestFit="1" customWidth="1"/>
    <col min="5" max="8" width="20.33203125" style="31" customWidth="1" outlineLevel="1"/>
    <col min="9" max="11" width="8.83203125" style="31"/>
    <col min="17" max="257" width="8.83203125" style="1"/>
    <col min="258" max="258" width="22.83203125" style="1" customWidth="1"/>
    <col min="259" max="513" width="8.83203125" style="1"/>
    <col min="514" max="514" width="22.83203125" style="1" customWidth="1"/>
    <col min="515" max="769" width="8.83203125" style="1"/>
    <col min="770" max="770" width="22.83203125" style="1" customWidth="1"/>
    <col min="771" max="1025" width="8.83203125" style="1"/>
    <col min="1026" max="1026" width="22.83203125" style="1" customWidth="1"/>
    <col min="1027" max="1281" width="8.83203125" style="1"/>
    <col min="1282" max="1282" width="22.83203125" style="1" customWidth="1"/>
    <col min="1283" max="1537" width="8.83203125" style="1"/>
    <col min="1538" max="1538" width="22.83203125" style="1" customWidth="1"/>
    <col min="1539" max="1793" width="8.83203125" style="1"/>
    <col min="1794" max="1794" width="22.83203125" style="1" customWidth="1"/>
    <col min="1795" max="2049" width="8.83203125" style="1"/>
    <col min="2050" max="2050" width="22.83203125" style="1" customWidth="1"/>
    <col min="2051" max="2305" width="8.83203125" style="1"/>
    <col min="2306" max="2306" width="22.83203125" style="1" customWidth="1"/>
    <col min="2307" max="2561" width="8.83203125" style="1"/>
    <col min="2562" max="2562" width="22.83203125" style="1" customWidth="1"/>
    <col min="2563" max="2817" width="8.83203125" style="1"/>
    <col min="2818" max="2818" width="22.83203125" style="1" customWidth="1"/>
    <col min="2819" max="3073" width="8.83203125" style="1"/>
    <col min="3074" max="3074" width="22.83203125" style="1" customWidth="1"/>
    <col min="3075" max="3329" width="8.83203125" style="1"/>
    <col min="3330" max="3330" width="22.83203125" style="1" customWidth="1"/>
    <col min="3331" max="3585" width="8.83203125" style="1"/>
    <col min="3586" max="3586" width="22.83203125" style="1" customWidth="1"/>
    <col min="3587" max="3841" width="8.83203125" style="1"/>
    <col min="3842" max="3842" width="22.83203125" style="1" customWidth="1"/>
    <col min="3843" max="4097" width="8.83203125" style="1"/>
    <col min="4098" max="4098" width="22.83203125" style="1" customWidth="1"/>
    <col min="4099" max="4353" width="8.83203125" style="1"/>
    <col min="4354" max="4354" width="22.83203125" style="1" customWidth="1"/>
    <col min="4355" max="4609" width="8.83203125" style="1"/>
    <col min="4610" max="4610" width="22.83203125" style="1" customWidth="1"/>
    <col min="4611" max="4865" width="8.83203125" style="1"/>
    <col min="4866" max="4866" width="22.83203125" style="1" customWidth="1"/>
    <col min="4867" max="5121" width="8.83203125" style="1"/>
    <col min="5122" max="5122" width="22.83203125" style="1" customWidth="1"/>
    <col min="5123" max="5377" width="8.83203125" style="1"/>
    <col min="5378" max="5378" width="22.83203125" style="1" customWidth="1"/>
    <col min="5379" max="5633" width="8.83203125" style="1"/>
    <col min="5634" max="5634" width="22.83203125" style="1" customWidth="1"/>
    <col min="5635" max="5889" width="8.83203125" style="1"/>
    <col min="5890" max="5890" width="22.83203125" style="1" customWidth="1"/>
    <col min="5891" max="6145" width="8.83203125" style="1"/>
    <col min="6146" max="6146" width="22.83203125" style="1" customWidth="1"/>
    <col min="6147" max="6401" width="8.83203125" style="1"/>
    <col min="6402" max="6402" width="22.83203125" style="1" customWidth="1"/>
    <col min="6403" max="6657" width="8.83203125" style="1"/>
    <col min="6658" max="6658" width="22.83203125" style="1" customWidth="1"/>
    <col min="6659" max="6913" width="8.83203125" style="1"/>
    <col min="6914" max="6914" width="22.83203125" style="1" customWidth="1"/>
    <col min="6915" max="7169" width="8.83203125" style="1"/>
    <col min="7170" max="7170" width="22.83203125" style="1" customWidth="1"/>
    <col min="7171" max="7425" width="8.83203125" style="1"/>
    <col min="7426" max="7426" width="22.83203125" style="1" customWidth="1"/>
    <col min="7427" max="7681" width="8.83203125" style="1"/>
    <col min="7682" max="7682" width="22.83203125" style="1" customWidth="1"/>
    <col min="7683" max="7937" width="8.83203125" style="1"/>
    <col min="7938" max="7938" width="22.83203125" style="1" customWidth="1"/>
    <col min="7939" max="8193" width="8.83203125" style="1"/>
    <col min="8194" max="8194" width="22.83203125" style="1" customWidth="1"/>
    <col min="8195" max="8449" width="8.83203125" style="1"/>
    <col min="8450" max="8450" width="22.83203125" style="1" customWidth="1"/>
    <col min="8451" max="8705" width="8.83203125" style="1"/>
    <col min="8706" max="8706" width="22.83203125" style="1" customWidth="1"/>
    <col min="8707" max="8961" width="8.83203125" style="1"/>
    <col min="8962" max="8962" width="22.83203125" style="1" customWidth="1"/>
    <col min="8963" max="9217" width="8.83203125" style="1"/>
    <col min="9218" max="9218" width="22.83203125" style="1" customWidth="1"/>
    <col min="9219" max="9473" width="8.83203125" style="1"/>
    <col min="9474" max="9474" width="22.83203125" style="1" customWidth="1"/>
    <col min="9475" max="9729" width="8.83203125" style="1"/>
    <col min="9730" max="9730" width="22.83203125" style="1" customWidth="1"/>
    <col min="9731" max="9985" width="8.83203125" style="1"/>
    <col min="9986" max="9986" width="22.83203125" style="1" customWidth="1"/>
    <col min="9987" max="10241" width="8.83203125" style="1"/>
    <col min="10242" max="10242" width="22.83203125" style="1" customWidth="1"/>
    <col min="10243" max="10497" width="8.83203125" style="1"/>
    <col min="10498" max="10498" width="22.83203125" style="1" customWidth="1"/>
    <col min="10499" max="10753" width="8.83203125" style="1"/>
    <col min="10754" max="10754" width="22.83203125" style="1" customWidth="1"/>
    <col min="10755" max="11009" width="8.83203125" style="1"/>
    <col min="11010" max="11010" width="22.83203125" style="1" customWidth="1"/>
    <col min="11011" max="11265" width="8.83203125" style="1"/>
    <col min="11266" max="11266" width="22.83203125" style="1" customWidth="1"/>
    <col min="11267" max="11521" width="8.83203125" style="1"/>
    <col min="11522" max="11522" width="22.83203125" style="1" customWidth="1"/>
    <col min="11523" max="11777" width="8.83203125" style="1"/>
    <col min="11778" max="11778" width="22.83203125" style="1" customWidth="1"/>
    <col min="11779" max="12033" width="8.83203125" style="1"/>
    <col min="12034" max="12034" width="22.83203125" style="1" customWidth="1"/>
    <col min="12035" max="12289" width="8.83203125" style="1"/>
    <col min="12290" max="12290" width="22.83203125" style="1" customWidth="1"/>
    <col min="12291" max="12545" width="8.83203125" style="1"/>
    <col min="12546" max="12546" width="22.83203125" style="1" customWidth="1"/>
    <col min="12547" max="12801" width="8.83203125" style="1"/>
    <col min="12802" max="12802" width="22.83203125" style="1" customWidth="1"/>
    <col min="12803" max="13057" width="8.83203125" style="1"/>
    <col min="13058" max="13058" width="22.83203125" style="1" customWidth="1"/>
    <col min="13059" max="13313" width="8.83203125" style="1"/>
    <col min="13314" max="13314" width="22.83203125" style="1" customWidth="1"/>
    <col min="13315" max="13569" width="8.83203125" style="1"/>
    <col min="13570" max="13570" width="22.83203125" style="1" customWidth="1"/>
    <col min="13571" max="13825" width="8.83203125" style="1"/>
    <col min="13826" max="13826" width="22.83203125" style="1" customWidth="1"/>
    <col min="13827" max="14081" width="8.83203125" style="1"/>
    <col min="14082" max="14082" width="22.83203125" style="1" customWidth="1"/>
    <col min="14083" max="14337" width="8.83203125" style="1"/>
    <col min="14338" max="14338" width="22.83203125" style="1" customWidth="1"/>
    <col min="14339" max="14593" width="8.83203125" style="1"/>
    <col min="14594" max="14594" width="22.83203125" style="1" customWidth="1"/>
    <col min="14595" max="14849" width="8.83203125" style="1"/>
    <col min="14850" max="14850" width="22.83203125" style="1" customWidth="1"/>
    <col min="14851" max="15105" width="8.83203125" style="1"/>
    <col min="15106" max="15106" width="22.83203125" style="1" customWidth="1"/>
    <col min="15107" max="15361" width="8.83203125" style="1"/>
    <col min="15362" max="15362" width="22.83203125" style="1" customWidth="1"/>
    <col min="15363" max="15617" width="8.83203125" style="1"/>
    <col min="15618" max="15618" width="22.83203125" style="1" customWidth="1"/>
    <col min="15619" max="15873" width="8.83203125" style="1"/>
    <col min="15874" max="15874" width="22.83203125" style="1" customWidth="1"/>
    <col min="15875" max="16129" width="8.83203125" style="1"/>
    <col min="16130" max="16130" width="22.83203125" style="1" customWidth="1"/>
    <col min="16131" max="16384" width="8.83203125" style="1"/>
  </cols>
  <sheetData>
    <row r="1" spans="1:8" ht="20" x14ac:dyDescent="0.2">
      <c r="A1" s="22" t="str">
        <f>'Student Info'!$A$1</f>
        <v>Three Rivers Charter School</v>
      </c>
    </row>
    <row r="2" spans="1:8" ht="18" x14ac:dyDescent="0.2">
      <c r="A2" s="21" t="s">
        <v>746</v>
      </c>
    </row>
    <row r="3" spans="1:8" ht="18" x14ac:dyDescent="0.2">
      <c r="A3" s="21" t="str">
        <f>'Student Info'!$A$3</f>
        <v>Five Year Budget, 2015-16 to 2019-20</v>
      </c>
    </row>
    <row r="4" spans="1:8" ht="29.25" customHeight="1" x14ac:dyDescent="0.2"/>
    <row r="5" spans="1:8" ht="18" x14ac:dyDescent="0.2">
      <c r="A5" s="29"/>
      <c r="B5" s="41"/>
      <c r="C5" s="29"/>
    </row>
    <row r="6" spans="1:8" ht="19" thickBot="1" x14ac:dyDescent="0.25">
      <c r="A6" s="30" t="s">
        <v>727</v>
      </c>
      <c r="B6" s="42" t="s">
        <v>728</v>
      </c>
      <c r="C6" s="30" t="s">
        <v>729</v>
      </c>
      <c r="D6" s="32" t="str">
        <f>'Student Info'!D$7</f>
        <v>2015-16</v>
      </c>
      <c r="E6" s="32" t="str">
        <f>'Student Info'!E$7</f>
        <v>2016-17</v>
      </c>
      <c r="F6" s="32" t="str">
        <f>'Student Info'!F$7</f>
        <v>2017-18</v>
      </c>
      <c r="G6" s="32" t="str">
        <f>'Student Info'!G$7</f>
        <v>2018-19</v>
      </c>
      <c r="H6" s="32" t="str">
        <f>'Student Info'!H$7</f>
        <v>2019-20</v>
      </c>
    </row>
    <row r="7" spans="1:8" x14ac:dyDescent="0.2">
      <c r="A7" s="34" t="s">
        <v>733</v>
      </c>
      <c r="C7" s="3"/>
    </row>
    <row r="8" spans="1:8" x14ac:dyDescent="0.2">
      <c r="A8" s="36"/>
      <c r="B8" s="138" t="s">
        <v>10</v>
      </c>
      <c r="C8" s="136" t="s">
        <v>569</v>
      </c>
      <c r="D8" s="64">
        <v>211473</v>
      </c>
      <c r="E8" s="64">
        <f>SUMIF('Employee Input 16-17'!$B:$B,$B8,'Employee Input 16-17'!$H:$H)</f>
        <v>236706</v>
      </c>
      <c r="F8" s="64">
        <f>SUMIF('Employee Input 17-18'!$B:$B,$B8,'Employee Input 17-18'!$H:$H)</f>
        <v>243807.18000000002</v>
      </c>
      <c r="G8" s="64">
        <f>SUMIF('Employee Input 18-19'!$B:$B,$B8,'Employee Input 18-19'!$H:$H)</f>
        <v>251121.39540000004</v>
      </c>
      <c r="H8" s="64">
        <f>SUMIF('Employee Input 19-20'!$B:$B,$B8,'Employee Input 19-20'!$H:$H)</f>
        <v>259910.64423899999</v>
      </c>
    </row>
    <row r="9" spans="1:8" x14ac:dyDescent="0.2">
      <c r="A9" s="36"/>
      <c r="B9" s="138" t="s">
        <v>712</v>
      </c>
      <c r="C9" s="136" t="s">
        <v>570</v>
      </c>
      <c r="D9" s="64">
        <f>SUMIF('Employee Input 15-16'!$B:$B,$B8,'Employee Input 15-16'!$I:$I)+SUMIF('Employee Input 15-16'!$B:$B,$B8,'Employee Input 15-16'!$J:$J)</f>
        <v>1500</v>
      </c>
      <c r="E9" s="64">
        <f>SUMIF('Employee Input 16-17'!$B:$B,$B8,'Employee Input 16-17'!$I:$I)+SUMIF('Employee Input 16-17'!$B:$B,$B8,'Employee Input 16-17'!$J:$J)</f>
        <v>1500</v>
      </c>
      <c r="F9" s="64">
        <f>SUMIF('Employee Input 17-18'!$B:$B,$B8,'Employee Input 17-18'!$I:$I)+SUMIF('Employee Input 17-18'!$B:$B,$B8,'Employee Input 17-18'!$J:$J)</f>
        <v>1500</v>
      </c>
      <c r="G9" s="64">
        <f>SUMIF('Employee Input 18-19'!$B:$B,$B8,'Employee Input 18-19'!$I:$I)+SUMIF('Employee Input 18-19'!$B:$B,$B8,'Employee Input 18-19'!$J:$J)</f>
        <v>1500</v>
      </c>
      <c r="H9" s="64">
        <f>SUMIF('Employee Input 19-20'!$B:$B,$B8,'Employee Input 19-20'!$I:$I)+SUMIF('Employee Input 19-20'!$B:$B,$B8,'Employee Input 19-20'!$J:$J)</f>
        <v>1500</v>
      </c>
    </row>
    <row r="10" spans="1:8" x14ac:dyDescent="0.2">
      <c r="A10" s="36"/>
      <c r="B10" s="138" t="s">
        <v>556</v>
      </c>
      <c r="C10" s="136" t="s">
        <v>571</v>
      </c>
      <c r="D10" s="64">
        <v>1480</v>
      </c>
      <c r="E10" s="64">
        <f>SUMIF('Employee Input 16-17'!$B:$B,$B10,'Employee Input 16-17'!$K:$K)</f>
        <v>1600</v>
      </c>
      <c r="F10" s="64">
        <f>SUMIF('Employee Input 17-18'!$B:$B,$B10,'Employee Input 17-18'!$K:$K)</f>
        <v>1648</v>
      </c>
      <c r="G10" s="64">
        <f>SUMIF('Employee Input 18-19'!$B:$B,$B10,'Employee Input 18-19'!$K:$K)</f>
        <v>1697.44</v>
      </c>
      <c r="H10" s="64">
        <f>SUMIF('Employee Input 19-20'!$B:$B,$B10,'Employee Input 19-20'!$K:$K)</f>
        <v>1756.8503999999998</v>
      </c>
    </row>
    <row r="11" spans="1:8" x14ac:dyDescent="0.2">
      <c r="A11" s="36"/>
      <c r="B11" s="138" t="s">
        <v>12</v>
      </c>
      <c r="C11" s="136" t="s">
        <v>572</v>
      </c>
      <c r="D11" s="302">
        <f>SUMIF('Employee Input 15-16'!$B:$B,$B11,'Employee Input 15-16'!$H:$H)</f>
        <v>0</v>
      </c>
      <c r="E11" s="64">
        <f>SUMIF('Employee Input 16-17'!$B:$B,$B11,'Employee Input 16-17'!$H:$H)</f>
        <v>0</v>
      </c>
      <c r="F11" s="64">
        <f>SUMIF('Employee Input 17-18'!$B:$B,$B11,'Employee Input 17-18'!$H:$H)</f>
        <v>0</v>
      </c>
      <c r="G11" s="64">
        <f>SUMIF('Employee Input 18-19'!$B:$B,$B11,'Employee Input 18-19'!$H:$H)</f>
        <v>0</v>
      </c>
      <c r="H11" s="64">
        <f>SUMIF('Employee Input 19-20'!$B:$B,$B11,'Employee Input 19-20'!$H:$H)</f>
        <v>0</v>
      </c>
    </row>
    <row r="12" spans="1:8" x14ac:dyDescent="0.2">
      <c r="A12" s="36"/>
      <c r="B12" s="138" t="s">
        <v>1218</v>
      </c>
      <c r="C12" s="136" t="s">
        <v>1219</v>
      </c>
      <c r="D12" s="64">
        <f>SUMIF('Employee Input 15-16'!$B:$B,$B11,'Employee Input 15-16'!$I:$I)+SUMIF('Employee Input 15-16'!$B:$B,$B11,'Employee Input 15-16'!$J:$J)</f>
        <v>0</v>
      </c>
      <c r="E12" s="64">
        <f>SUMIF('Employee Input 16-17'!$B:$B,$B11,'Employee Input 16-17'!$I:$I)+SUMIF('Employee Input 16-17'!$B:$B,$B11,'Employee Input 16-17'!$J:$J)</f>
        <v>0</v>
      </c>
      <c r="F12" s="64">
        <f>SUMIF('Employee Input 17-18'!$B:$B,$B11,'Employee Input 17-18'!$I:$I)+SUMIF('Employee Input 17-18'!$B:$B,$B11,'Employee Input 17-18'!$J:$J)</f>
        <v>0</v>
      </c>
      <c r="G12" s="64">
        <f>SUMIF('Employee Input 18-19'!$B:$B,$B11,'Employee Input 18-19'!$I:$I)+SUMIF('Employee Input 18-19'!$B:$B,$B11,'Employee Input 18-19'!$J:$J)</f>
        <v>0</v>
      </c>
      <c r="H12" s="64">
        <f>SUMIF('Employee Input 19-20'!$B:$B,$B11,'Employee Input 19-20'!$I:$I)+SUMIF('Employee Input 19-20'!$B:$B,$B11,'Employee Input 19-20'!$J:$J)</f>
        <v>0</v>
      </c>
    </row>
    <row r="13" spans="1:8" x14ac:dyDescent="0.2">
      <c r="A13" s="36"/>
      <c r="B13" s="138" t="s">
        <v>14</v>
      </c>
      <c r="C13" s="136" t="s">
        <v>573</v>
      </c>
      <c r="D13" s="64">
        <v>60504</v>
      </c>
      <c r="E13" s="64">
        <f>SUMIF('Employee Input 16-17'!$B:$B,$B13,'Employee Input 16-17'!$H:$H)</f>
        <v>65000</v>
      </c>
      <c r="F13" s="64">
        <f>SUMIF('Employee Input 17-18'!$B:$B,$B13,'Employee Input 17-18'!$H:$H)</f>
        <v>66950</v>
      </c>
      <c r="G13" s="64">
        <f>SUMIF('Employee Input 18-19'!$B:$B,$B13,'Employee Input 18-19'!$H:$H)</f>
        <v>68958.5</v>
      </c>
      <c r="H13" s="64">
        <f>SUMIF('Employee Input 19-20'!$B:$B,$B13,'Employee Input 19-20'!$H:$H)</f>
        <v>71372.047500000001</v>
      </c>
    </row>
    <row r="14" spans="1:8" x14ac:dyDescent="0.2">
      <c r="A14" s="36"/>
      <c r="B14" s="138" t="s">
        <v>713</v>
      </c>
      <c r="C14" s="136" t="s">
        <v>574</v>
      </c>
      <c r="D14" s="64">
        <v>0</v>
      </c>
      <c r="E14" s="64">
        <f>SUMIF('Employee Input 16-17'!$B:$B,$B13,'Employee Input 16-17'!$I:$I)+SUMIF('Employee Input 16-17'!$B:$B,$B13,'Employee Input 16-17'!$J:$J)</f>
        <v>1500</v>
      </c>
      <c r="F14" s="64">
        <f>SUMIF('Employee Input 17-18'!$B:$B,$B13,'Employee Input 17-18'!$I:$I)+SUMIF('Employee Input 17-18'!$B:$B,$B13,'Employee Input 17-18'!$J:$J)</f>
        <v>1500</v>
      </c>
      <c r="G14" s="64">
        <f>SUMIF('Employee Input 18-19'!$B:$B,$B13,'Employee Input 18-19'!$I:$I)+SUMIF('Employee Input 18-19'!$B:$B,$B13,'Employee Input 18-19'!$J:$J)</f>
        <v>1500</v>
      </c>
      <c r="H14" s="64">
        <f>SUMIF('Employee Input 19-20'!$B:$B,$B13,'Employee Input 19-20'!$I:$I)+SUMIF('Employee Input 19-20'!$B:$B,$B13,'Employee Input 19-20'!$J:$J)</f>
        <v>1500</v>
      </c>
    </row>
    <row r="15" spans="1:8" x14ac:dyDescent="0.2">
      <c r="A15" s="36"/>
      <c r="B15" s="138" t="s">
        <v>16</v>
      </c>
      <c r="C15" s="136" t="s">
        <v>575</v>
      </c>
      <c r="D15" s="64">
        <f>SUMIF('Employee Input 15-16'!$B:$B,$B15,'Employee Input 15-16'!$H:$H)</f>
        <v>0</v>
      </c>
      <c r="E15" s="64">
        <f>SUMIF('Employee Input 16-17'!$B:$B,$B15,'Employee Input 16-17'!$H:$H)</f>
        <v>0</v>
      </c>
      <c r="F15" s="64">
        <f>SUMIF('Employee Input 17-18'!$B:$B,$B15,'Employee Input 17-18'!$H:$H)</f>
        <v>0</v>
      </c>
      <c r="G15" s="64">
        <f>SUMIF('Employee Input 18-19'!$B:$B,$B15,'Employee Input 18-19'!$H:$H)</f>
        <v>0</v>
      </c>
      <c r="H15" s="64">
        <f>SUMIF('Employee Input 19-20'!$B:$B,$B15,'Employee Input 19-20'!$H:$H)</f>
        <v>0</v>
      </c>
    </row>
    <row r="16" spans="1:8" x14ac:dyDescent="0.2">
      <c r="A16" s="36"/>
      <c r="B16" s="138" t="s">
        <v>714</v>
      </c>
      <c r="C16" s="136" t="s">
        <v>576</v>
      </c>
      <c r="D16" s="64">
        <f>SUMIF('Employee Input 15-16'!$B:$B,$B15,'Employee Input 15-16'!$J:$J)</f>
        <v>0</v>
      </c>
      <c r="E16" s="64">
        <f>SUMIF('Employee Input 16-17'!$B:$B,$B15,'Employee Input 16-17'!$J:$J)</f>
        <v>0</v>
      </c>
      <c r="F16" s="64">
        <f>SUMIF('Employee Input 17-18'!$B:$B,$B15,'Employee Input 17-18'!$J:$J)</f>
        <v>0</v>
      </c>
      <c r="G16" s="64">
        <f>SUMIF('Employee Input 18-19'!$B:$B,$B15,'Employee Input 18-19'!$J:$J)</f>
        <v>0</v>
      </c>
      <c r="H16" s="64">
        <f>SUMIF('Employee Input 19-20'!$B:$B,$B15,'Employee Input 19-20'!$J:$J)</f>
        <v>0</v>
      </c>
    </row>
    <row r="17" spans="1:16" s="31" customFormat="1" x14ac:dyDescent="0.2">
      <c r="A17" s="36"/>
      <c r="B17" s="36" t="s">
        <v>555</v>
      </c>
      <c r="C17" s="34" t="s">
        <v>721</v>
      </c>
      <c r="D17" s="346">
        <f>IF(SUM(D7:D16)&gt;0,SUM(D7:D16),"")</f>
        <v>274957</v>
      </c>
      <c r="E17" s="172">
        <f>IF(SUM(E7:E16)&gt;0,SUM(E7:E16),"")</f>
        <v>306306</v>
      </c>
      <c r="F17" s="172">
        <f>IF(SUM(F7:F16)&gt;0,SUM(F7:F16),"")</f>
        <v>315405.18000000005</v>
      </c>
      <c r="G17" s="172">
        <f>IF(SUM(G7:G16)&gt;0,SUM(G7:G16),"")</f>
        <v>324777.33540000004</v>
      </c>
      <c r="H17" s="172">
        <f>IF(SUM(H7:H16)&gt;0,SUM(H7:H16),"")</f>
        <v>336039.54213899997</v>
      </c>
      <c r="L17"/>
      <c r="M17"/>
      <c r="N17"/>
      <c r="O17"/>
      <c r="P17"/>
    </row>
    <row r="18" spans="1:16" s="31" customFormat="1" x14ac:dyDescent="0.2">
      <c r="A18" s="36"/>
      <c r="B18" s="40"/>
      <c r="C18" s="3"/>
      <c r="D18" s="194"/>
      <c r="E18" s="194"/>
      <c r="F18" s="194"/>
      <c r="G18" s="194"/>
      <c r="H18" s="194"/>
      <c r="L18"/>
      <c r="M18"/>
      <c r="N18"/>
      <c r="O18"/>
      <c r="P18"/>
    </row>
    <row r="19" spans="1:16" s="31" customFormat="1" x14ac:dyDescent="0.2">
      <c r="A19" s="5" t="s">
        <v>734</v>
      </c>
      <c r="B19" s="40"/>
      <c r="C19" s="3"/>
      <c r="D19" s="194"/>
      <c r="E19" s="194"/>
      <c r="F19" s="194"/>
      <c r="G19" s="194"/>
      <c r="H19" s="194"/>
      <c r="L19"/>
      <c r="M19"/>
      <c r="N19"/>
      <c r="O19"/>
      <c r="P19"/>
    </row>
    <row r="20" spans="1:16" s="31" customFormat="1" x14ac:dyDescent="0.2">
      <c r="A20" s="36"/>
      <c r="B20" s="138" t="s">
        <v>18</v>
      </c>
      <c r="C20" s="136" t="s">
        <v>577</v>
      </c>
      <c r="D20" s="64">
        <v>54915</v>
      </c>
      <c r="E20" s="64">
        <f>SUMIF('Employee Input 16-17'!$B:$B,$B20,'Employee Input 16-17'!$H:$H)</f>
        <v>89720</v>
      </c>
      <c r="F20" s="64">
        <f>SUMIF('Employee Input 17-18'!$B:$B,$B20,'Employee Input 17-18'!$H:$H)</f>
        <v>92411.6</v>
      </c>
      <c r="G20" s="64">
        <f>SUMIF('Employee Input 18-19'!$B:$B,$B20,'Employee Input 18-19'!$H:$H)</f>
        <v>95183.948000000004</v>
      </c>
      <c r="H20" s="64">
        <f>SUMIF('Employee Input 19-20'!$B:$B,$B20,'Employee Input 19-20'!$H:$H)</f>
        <v>98515.386180000001</v>
      </c>
      <c r="L20"/>
      <c r="M20"/>
      <c r="N20"/>
      <c r="O20"/>
      <c r="P20"/>
    </row>
    <row r="21" spans="1:16" s="31" customFormat="1" x14ac:dyDescent="0.2">
      <c r="A21" s="36"/>
      <c r="B21" s="138" t="s">
        <v>557</v>
      </c>
      <c r="C21" s="136" t="s">
        <v>578</v>
      </c>
      <c r="D21" s="64">
        <f>SUMIF('Employee Input 15-16'!$B:$B,$B20,'Employee Input 15-16'!$I:$I)+SUMIF('Employee Input 15-16'!$B:$B,$B20,'Employee Input 15-16'!$J:$J)</f>
        <v>0</v>
      </c>
      <c r="E21" s="64">
        <f>SUMIF('Employee Input 16-17'!$B:$B,$B20,'Employee Input 16-17'!$I:$I)+SUMIF('Employee Input 16-17'!$B:$B,$B20,'Employee Input 16-17'!$J:$J)</f>
        <v>0</v>
      </c>
      <c r="F21" s="64">
        <f>SUMIF('Employee Input 17-18'!$B:$B,$B20,'Employee Input 17-18'!$I:$I)+SUMIF('Employee Input 17-18'!$B:$B,$B20,'Employee Input 17-18'!$J:$J)</f>
        <v>0</v>
      </c>
      <c r="G21" s="64">
        <f>SUMIF('Employee Input 18-19'!$B:$B,$B20,'Employee Input 18-19'!$I:$I)+SUMIF('Employee Input 18-19'!$B:$B,$B20,'Employee Input 18-19'!$J:$J)</f>
        <v>0</v>
      </c>
      <c r="H21" s="64">
        <f>SUMIF('Employee Input 19-20'!$B:$B,$B20,'Employee Input 19-20'!$I:$I)+SUMIF('Employee Input 19-20'!$B:$B,$B20,'Employee Input 19-20'!$J:$J)</f>
        <v>0</v>
      </c>
      <c r="L21"/>
      <c r="M21"/>
      <c r="N21"/>
      <c r="O21"/>
      <c r="P21"/>
    </row>
    <row r="22" spans="1:16" s="31" customFormat="1" x14ac:dyDescent="0.2">
      <c r="A22" s="36"/>
      <c r="B22" s="138" t="s">
        <v>20</v>
      </c>
      <c r="C22" s="136" t="s">
        <v>579</v>
      </c>
      <c r="D22" s="64">
        <v>3240</v>
      </c>
      <c r="E22" s="64">
        <f>SUMIF('Employee Input 16-17'!$B:$B,$B22,'Employee Input 16-17'!$H:$H)</f>
        <v>0</v>
      </c>
      <c r="F22" s="64">
        <f>SUMIF('Employee Input 17-18'!$B:$B,$B22,'Employee Input 17-18'!$H:$H)</f>
        <v>0</v>
      </c>
      <c r="G22" s="64">
        <f>SUMIF('Employee Input 18-19'!$B:$B,$B22,'Employee Input 18-19'!$H:$H)</f>
        <v>0</v>
      </c>
      <c r="H22" s="64">
        <f>SUMIF('Employee Input 19-20'!$B:$B,$B22,'Employee Input 19-20'!$H:$H)</f>
        <v>0</v>
      </c>
      <c r="L22"/>
      <c r="M22"/>
      <c r="N22"/>
      <c r="O22"/>
      <c r="P22"/>
    </row>
    <row r="23" spans="1:16" s="31" customFormat="1" x14ac:dyDescent="0.2">
      <c r="A23" s="36"/>
      <c r="B23" s="138" t="s">
        <v>715</v>
      </c>
      <c r="C23" s="136" t="s">
        <v>580</v>
      </c>
      <c r="D23" s="64">
        <f>SUMIF('Employee Input 15-16'!$B:$B,$B22,'Employee Input 15-16'!$J:$J)</f>
        <v>0</v>
      </c>
      <c r="E23" s="64">
        <f>SUMIF('Employee Input 16-17'!$B:$B,$B22,'Employee Input 16-17'!$J:$J)</f>
        <v>0</v>
      </c>
      <c r="F23" s="64">
        <f>SUMIF('Employee Input 17-18'!$B:$B,$B22,'Employee Input 17-18'!$J:$J)</f>
        <v>0</v>
      </c>
      <c r="G23" s="64">
        <f>SUMIF('Employee Input 18-19'!$B:$B,$B22,'Employee Input 18-19'!$J:$J)</f>
        <v>0</v>
      </c>
      <c r="H23" s="64">
        <f>SUMIF('Employee Input 19-20'!$B:$B,$B22,'Employee Input 19-20'!$J:$J)</f>
        <v>0</v>
      </c>
      <c r="L23"/>
      <c r="M23"/>
      <c r="N23"/>
      <c r="O23"/>
      <c r="P23"/>
    </row>
    <row r="24" spans="1:16" s="31" customFormat="1" x14ac:dyDescent="0.2">
      <c r="A24" s="36"/>
      <c r="B24" s="138" t="s">
        <v>22</v>
      </c>
      <c r="C24" s="136" t="s">
        <v>581</v>
      </c>
      <c r="D24" s="64">
        <f>SUMIF('Employee Input 15-16'!$B:$B,$B24,'Employee Input 15-16'!$H:$H)</f>
        <v>0</v>
      </c>
      <c r="E24" s="64">
        <f>SUMIF('Employee Input 16-17'!$B:$B,$B24,'Employee Input 16-17'!$H:$H)</f>
        <v>0</v>
      </c>
      <c r="F24" s="64">
        <f>SUMIF('Employee Input 17-18'!$B:$B,$B24,'Employee Input 17-18'!$H:$H)</f>
        <v>0</v>
      </c>
      <c r="G24" s="64">
        <f>SUMIF('Employee Input 18-19'!$B:$B,$B24,'Employee Input 18-19'!$H:$H)</f>
        <v>0</v>
      </c>
      <c r="H24" s="64">
        <f>SUMIF('Employee Input 19-20'!$B:$B,$B24,'Employee Input 19-20'!$H:$H)</f>
        <v>0</v>
      </c>
      <c r="L24"/>
      <c r="M24"/>
      <c r="N24"/>
      <c r="O24"/>
      <c r="P24"/>
    </row>
    <row r="25" spans="1:16" s="31" customFormat="1" x14ac:dyDescent="0.2">
      <c r="A25" s="36"/>
      <c r="B25" s="138" t="s">
        <v>24</v>
      </c>
      <c r="C25" s="136" t="s">
        <v>582</v>
      </c>
      <c r="D25" s="64">
        <v>19661</v>
      </c>
      <c r="E25" s="64">
        <f>SUMIF('Employee Input 16-17'!$B:$B,$B25,'Employee Input 16-17'!$H:$H)</f>
        <v>18600</v>
      </c>
      <c r="F25" s="64">
        <f>SUMIF('Employee Input 17-18'!$B:$B,$B25,'Employee Input 17-18'!$H:$H)</f>
        <v>19158</v>
      </c>
      <c r="G25" s="64">
        <f>SUMIF('Employee Input 18-19'!$B:$B,$B25,'Employee Input 18-19'!$H:$H)</f>
        <v>19732.740000000002</v>
      </c>
      <c r="H25" s="64">
        <f>SUMIF('Employee Input 19-20'!$B:$B,$B25,'Employee Input 19-20'!$H:$H)</f>
        <v>20423.385900000001</v>
      </c>
      <c r="L25"/>
      <c r="M25"/>
      <c r="N25"/>
      <c r="O25"/>
      <c r="P25"/>
    </row>
    <row r="26" spans="1:16" s="31" customFormat="1" x14ac:dyDescent="0.2">
      <c r="A26" s="36"/>
      <c r="B26" s="138" t="s">
        <v>549</v>
      </c>
      <c r="C26" s="136" t="s">
        <v>583</v>
      </c>
      <c r="D26" s="64">
        <f>SUMIF('Employee Input 15-16'!$B:$B,$B25,'Employee Input 15-16'!$I:$I)+SUMIF('Employee Input 15-16'!$B:$B,$B25,'Employee Input 15-16'!$J:$J)</f>
        <v>0</v>
      </c>
      <c r="E26" s="64">
        <f>SUMIF('Employee Input 16-17'!$B:$B,$B25,'Employee Input 16-17'!$I:$I)+SUMIF('Employee Input 16-17'!$B:$B,$B25,'Employee Input 16-17'!$J:$J)</f>
        <v>0</v>
      </c>
      <c r="F26" s="64">
        <f>SUMIF('Employee Input 17-18'!$B:$B,$B25,'Employee Input 17-18'!$I:$I)+SUMIF('Employee Input 17-18'!$B:$B,$B25,'Employee Input 17-18'!$J:$J)</f>
        <v>0</v>
      </c>
      <c r="G26" s="64">
        <f>SUMIF('Employee Input 18-19'!$B:$B,$B25,'Employee Input 18-19'!$I:$I)+SUMIF('Employee Input 18-19'!$B:$B,$B25,'Employee Input 18-19'!$J:$J)</f>
        <v>0</v>
      </c>
      <c r="H26" s="64">
        <f>SUMIF('Employee Input 19-20'!$B:$B,$B25,'Employee Input 19-20'!$I:$I)+SUMIF('Employee Input 19-20'!$B:$B,$B25,'Employee Input 19-20'!$J:$J)</f>
        <v>0</v>
      </c>
      <c r="L26"/>
      <c r="M26"/>
      <c r="N26"/>
      <c r="O26"/>
      <c r="P26"/>
    </row>
    <row r="27" spans="1:16" s="31" customFormat="1" x14ac:dyDescent="0.2">
      <c r="A27" s="36"/>
      <c r="B27" s="138" t="s">
        <v>26</v>
      </c>
      <c r="C27" s="136" t="s">
        <v>584</v>
      </c>
      <c r="D27" s="64">
        <f>SUMIF('Employee Input 15-16'!$B:$B,$B27,'Employee Input 15-16'!$H:$H)</f>
        <v>0</v>
      </c>
      <c r="E27" s="64">
        <f>SUMIF('Employee Input 16-17'!$B:$B,$B27,'Employee Input 16-17'!$H:$H)</f>
        <v>0</v>
      </c>
      <c r="F27" s="64">
        <f>SUMIF('Employee Input 17-18'!$B:$B,$B27,'Employee Input 17-18'!$H:$H)</f>
        <v>0</v>
      </c>
      <c r="G27" s="64">
        <f>SUMIF('Employee Input 18-19'!$B:$B,$B27,'Employee Input 18-19'!$H:$H)</f>
        <v>0</v>
      </c>
      <c r="H27" s="64">
        <f>SUMIF('Employee Input 19-20'!$B:$B,$B27,'Employee Input 19-20'!$H:$H)</f>
        <v>0</v>
      </c>
      <c r="L27"/>
      <c r="M27"/>
      <c r="N27"/>
      <c r="O27"/>
      <c r="P27"/>
    </row>
    <row r="28" spans="1:16" s="31" customFormat="1" x14ac:dyDescent="0.2">
      <c r="A28" s="36"/>
      <c r="B28" s="138" t="s">
        <v>716</v>
      </c>
      <c r="C28" s="136" t="s">
        <v>585</v>
      </c>
      <c r="D28" s="64">
        <f>SUMIF('Employee Input 15-16'!$B:$B,$B27,'Employee Input 15-16'!$I:$I)+SUMIF('Employee Input 15-16'!$B:$B,$B27,'Employee Input 15-16'!$J:$J)</f>
        <v>0</v>
      </c>
      <c r="E28" s="64">
        <f>SUMIF('Employee Input 16-17'!$B:$B,$B27,'Employee Input 16-17'!$I:$I)+SUMIF('Employee Input 16-17'!$B:$B,$B27,'Employee Input 16-17'!$J:$J)</f>
        <v>0</v>
      </c>
      <c r="F28" s="64">
        <f>SUMIF('Employee Input 17-18'!$B:$B,$B27,'Employee Input 17-18'!$I:$I)+SUMIF('Employee Input 17-18'!$B:$B,$B27,'Employee Input 17-18'!$J:$J)</f>
        <v>0</v>
      </c>
      <c r="G28" s="64">
        <f>SUMIF('Employee Input 18-19'!$B:$B,$B27,'Employee Input 18-19'!$I:$I)+SUMIF('Employee Input 18-19'!$B:$B,$B27,'Employee Input 18-19'!$J:$J)</f>
        <v>0</v>
      </c>
      <c r="H28" s="64">
        <f>SUMIF('Employee Input 19-20'!$B:$B,$B27,'Employee Input 19-20'!$I:$I)+SUMIF('Employee Input 19-20'!$B:$B,$B27,'Employee Input 19-20'!$J:$J)</f>
        <v>0</v>
      </c>
      <c r="L28"/>
      <c r="M28"/>
      <c r="N28"/>
      <c r="O28"/>
      <c r="P28"/>
    </row>
    <row r="29" spans="1:16" s="31" customFormat="1" x14ac:dyDescent="0.2">
      <c r="A29" s="36"/>
      <c r="B29" s="138" t="s">
        <v>717</v>
      </c>
      <c r="C29" s="136" t="s">
        <v>586</v>
      </c>
      <c r="D29" s="64">
        <f>SUMIF('Employee Input 15-16'!$B:$B,$B28,'Employee Input 15-16'!$I:$I)+SUMIF('Employee Input 15-16'!$B:$B,$B28,'Employee Input 15-16'!$J:$J)</f>
        <v>0</v>
      </c>
      <c r="E29" s="64">
        <f>SUMIF('Employee Input 16-17'!$B:$B,$B28,'Employee Input 16-17'!$I:$I)+SUMIF('Employee Input 16-17'!$B:$B,$B28,'Employee Input 16-17'!$J:$J)</f>
        <v>0</v>
      </c>
      <c r="F29" s="64">
        <f>SUMIF('Employee Input 17-18'!$B:$B,$B28,'Employee Input 17-18'!$I:$I)+SUMIF('Employee Input 17-18'!$B:$B,$B28,'Employee Input 17-18'!$J:$J)</f>
        <v>0</v>
      </c>
      <c r="G29" s="64">
        <f>SUMIF('Employee Input 18-19'!$B:$B,$B28,'Employee Input 18-19'!$I:$I)+SUMIF('Employee Input 18-19'!$B:$B,$B28,'Employee Input 18-19'!$J:$J)</f>
        <v>0</v>
      </c>
      <c r="H29" s="64">
        <f>SUMIF('Employee Input 19-20'!$B:$B,$B28,'Employee Input 19-20'!$I:$I)+SUMIF('Employee Input 19-20'!$B:$B,$B28,'Employee Input 19-20'!$J:$J)</f>
        <v>0</v>
      </c>
      <c r="L29"/>
      <c r="M29"/>
      <c r="N29"/>
      <c r="O29"/>
      <c r="P29"/>
    </row>
    <row r="30" spans="1:16" s="31" customFormat="1" x14ac:dyDescent="0.2">
      <c r="A30" s="36"/>
      <c r="B30" s="43" t="s">
        <v>738</v>
      </c>
      <c r="C30" s="34" t="s">
        <v>721</v>
      </c>
      <c r="D30" s="172">
        <f>IF(SUM(D19:D29)&gt;0,SUM(D19:D29),"")</f>
        <v>77816</v>
      </c>
      <c r="E30" s="172">
        <f>IF(SUM(E19:E29)&gt;0,SUM(E19:E29),"")</f>
        <v>108320</v>
      </c>
      <c r="F30" s="172">
        <f>IF(SUM(F19:F29)&gt;0,SUM(F19:F29),"")</f>
        <v>111569.60000000001</v>
      </c>
      <c r="G30" s="172">
        <f>IF(SUM(G19:G29)&gt;0,SUM(G19:G29),"")</f>
        <v>114916.68800000001</v>
      </c>
      <c r="H30" s="172">
        <f>IF(SUM(H19:H29)&gt;0,SUM(H19:H29),"")</f>
        <v>118938.77208</v>
      </c>
      <c r="L30"/>
      <c r="M30"/>
      <c r="N30"/>
      <c r="O30"/>
      <c r="P30"/>
    </row>
    <row r="31" spans="1:16" s="31" customFormat="1" x14ac:dyDescent="0.2">
      <c r="A31" s="36"/>
      <c r="B31" s="40"/>
      <c r="C31" s="3"/>
      <c r="D31" s="194"/>
      <c r="E31" s="194"/>
      <c r="F31" s="194"/>
      <c r="G31" s="194"/>
      <c r="H31" s="194"/>
      <c r="L31"/>
      <c r="M31"/>
      <c r="N31"/>
      <c r="O31"/>
      <c r="P31"/>
    </row>
    <row r="32" spans="1:16" s="31" customFormat="1" x14ac:dyDescent="0.2">
      <c r="A32" s="34" t="s">
        <v>735</v>
      </c>
      <c r="B32" s="40"/>
      <c r="C32" s="3"/>
      <c r="D32" s="194"/>
      <c r="E32" s="194"/>
      <c r="F32" s="194"/>
      <c r="G32" s="194"/>
      <c r="H32" s="194"/>
      <c r="L32"/>
      <c r="M32"/>
      <c r="N32"/>
      <c r="O32"/>
      <c r="P32"/>
    </row>
    <row r="33" spans="1:16" s="31" customFormat="1" x14ac:dyDescent="0.2">
      <c r="A33" s="36"/>
      <c r="B33" s="138" t="s">
        <v>30</v>
      </c>
      <c r="C33" s="136" t="s">
        <v>587</v>
      </c>
      <c r="D33" s="64">
        <v>28795</v>
      </c>
      <c r="E33" s="64">
        <f>HLOOKUP($B33,'Employee Input 16-17'!$M$5:$X$99,95,)</f>
        <v>38533.294799999996</v>
      </c>
      <c r="F33" s="64">
        <f>HLOOKUP($B33,'Employee Input 17-18'!$M$5:$X$99,95,)</f>
        <v>45512.967474000005</v>
      </c>
      <c r="G33" s="64">
        <f>HLOOKUP($B33,'Employee Input 18-19'!$M$5:$X$99,95,)</f>
        <v>46865.369498219996</v>
      </c>
      <c r="H33" s="64">
        <f>HLOOKUP($B33,'Employee Input 19-20'!$M$5:$X$99,95,)</f>
        <v>48490.505930657702</v>
      </c>
      <c r="L33"/>
      <c r="M33"/>
      <c r="N33"/>
      <c r="O33"/>
      <c r="P33"/>
    </row>
    <row r="34" spans="1:16" s="31" customFormat="1" x14ac:dyDescent="0.2">
      <c r="A34" s="36"/>
      <c r="B34" s="138" t="s">
        <v>38</v>
      </c>
      <c r="C34" s="136" t="s">
        <v>588</v>
      </c>
      <c r="D34" s="64">
        <f>HLOOKUP($B34,'Employee Input 15-16'!$M$5:$X$99,95,)</f>
        <v>0</v>
      </c>
      <c r="E34" s="64">
        <f>HLOOKUP($B34,'Employee Input 16-17'!$M$5:$X$99,95,)</f>
        <v>0</v>
      </c>
      <c r="F34" s="64">
        <f>HLOOKUP($B34,'Employee Input 17-18'!$M$5:$X$99,95,)</f>
        <v>0</v>
      </c>
      <c r="G34" s="64">
        <f>HLOOKUP($B34,'Employee Input 18-19'!$M$5:$X$99,95,)</f>
        <v>0</v>
      </c>
      <c r="H34" s="64">
        <f>HLOOKUP($B34,'Employee Input 19-20'!$M$5:$X$99,95,)</f>
        <v>0</v>
      </c>
      <c r="L34"/>
      <c r="M34"/>
      <c r="N34"/>
      <c r="O34"/>
      <c r="P34"/>
    </row>
    <row r="35" spans="1:16" s="31" customFormat="1" x14ac:dyDescent="0.2">
      <c r="A35" s="36"/>
      <c r="B35" s="138" t="s">
        <v>927</v>
      </c>
      <c r="C35" s="136" t="s">
        <v>928</v>
      </c>
      <c r="D35" s="64">
        <v>6845</v>
      </c>
      <c r="E35" s="64">
        <f>HLOOKUP($B35,'Employee Input 16-17'!$M$5:$X$99,95,)</f>
        <v>6770</v>
      </c>
      <c r="F35" s="64">
        <f>HLOOKUP($B35,'Employee Input 17-18'!$M$5:$X$99,95,)</f>
        <v>6973.1</v>
      </c>
      <c r="G35" s="64">
        <f>HLOOKUP($B35,'Employee Input 18-19'!$M$5:$X$99,95,)</f>
        <v>7182.2930000000006</v>
      </c>
      <c r="H35" s="64">
        <f>HLOOKUP($B35,'Employee Input 19-20'!$M$5:$X$99,95,)</f>
        <v>7433.6732549999997</v>
      </c>
      <c r="L35"/>
      <c r="M35"/>
      <c r="N35"/>
      <c r="O35"/>
      <c r="P35"/>
    </row>
    <row r="36" spans="1:16" s="31" customFormat="1" x14ac:dyDescent="0.2">
      <c r="A36" s="36"/>
      <c r="B36" s="201" t="s">
        <v>929</v>
      </c>
      <c r="C36" s="137" t="s">
        <v>930</v>
      </c>
      <c r="D36" s="64">
        <v>4798</v>
      </c>
      <c r="E36" s="64">
        <f>HLOOKUP($B36,'Employee Input 16-17'!$M$5:$X$99,95,)</f>
        <v>6012.0769999999984</v>
      </c>
      <c r="F36" s="64">
        <f>HLOOKUP($B36,'Employee Input 17-18'!$M$5:$X$99,95,)</f>
        <v>6191.1343100000013</v>
      </c>
      <c r="G36" s="64">
        <f>HLOOKUP($B36,'Employee Input 18-19'!$M$5:$X$99,95,)</f>
        <v>6375.5633392999998</v>
      </c>
      <c r="H36" s="64">
        <f>HLOOKUP($B36,'Employee Input 19-20'!$M$5:$X$99,95,)</f>
        <v>6597.1855561755001</v>
      </c>
      <c r="L36"/>
      <c r="M36"/>
      <c r="N36"/>
      <c r="O36"/>
      <c r="P36"/>
    </row>
    <row r="37" spans="1:16" s="31" customFormat="1" x14ac:dyDescent="0.2">
      <c r="A37" s="36"/>
      <c r="B37" s="201" t="s">
        <v>718</v>
      </c>
      <c r="C37" s="136" t="s">
        <v>589</v>
      </c>
      <c r="D37" s="64">
        <v>103729</v>
      </c>
      <c r="E37" s="64">
        <f>HLOOKUP($B37,'Employee Input 16-17'!$M$5:$X$99,95,)</f>
        <v>81000</v>
      </c>
      <c r="F37" s="64">
        <f>HLOOKUP($B37,'Employee Input 17-18'!$M$5:$X$99,95,)</f>
        <v>81000</v>
      </c>
      <c r="G37" s="64">
        <f>HLOOKUP($B37,'Employee Input 18-19'!$M$5:$X$99,95,)</f>
        <v>81000</v>
      </c>
      <c r="H37" s="64">
        <f>HLOOKUP($B37,'Employee Input 19-20'!$M$5:$X$99,95,)</f>
        <v>81000</v>
      </c>
      <c r="L37"/>
      <c r="M37"/>
      <c r="N37"/>
      <c r="O37"/>
      <c r="P37"/>
    </row>
    <row r="38" spans="1:16" s="31" customFormat="1" x14ac:dyDescent="0.2">
      <c r="A38" s="36"/>
      <c r="B38" s="138" t="s">
        <v>719</v>
      </c>
      <c r="C38" s="136" t="s">
        <v>590</v>
      </c>
      <c r="D38" s="64">
        <v>3724</v>
      </c>
      <c r="E38" s="64">
        <f>HLOOKUP($B38,'Employee Input 16-17'!$M$5:$X$99,95,)</f>
        <v>8292.52</v>
      </c>
      <c r="F38" s="64">
        <f>HLOOKUP($B38,'Employee Input 17-18'!$M$5:$X$99,95,)</f>
        <v>8539.4956000000002</v>
      </c>
      <c r="G38" s="64">
        <f>HLOOKUP($B38,'Employee Input 18-19'!$M$5:$X$99,95,)</f>
        <v>8793.8804680000012</v>
      </c>
      <c r="H38" s="64">
        <f>HLOOKUP($B38,'Employee Input 19-20'!$M$5:$X$99,95,)</f>
        <v>9099.5662843800001</v>
      </c>
      <c r="L38"/>
      <c r="M38"/>
      <c r="N38"/>
      <c r="O38"/>
      <c r="P38"/>
    </row>
    <row r="39" spans="1:16" s="31" customFormat="1" x14ac:dyDescent="0.2">
      <c r="A39" s="36"/>
      <c r="B39" s="138" t="s">
        <v>720</v>
      </c>
      <c r="C39" s="136" t="s">
        <v>591</v>
      </c>
      <c r="D39" s="64">
        <v>4123</v>
      </c>
      <c r="E39" s="64">
        <f>HLOOKUP($B39,'Employee Input 16-17'!$M$5:$X$99,95,)</f>
        <v>4975.5119999999997</v>
      </c>
      <c r="F39" s="64">
        <f>HLOOKUP($B39,'Employee Input 17-18'!$M$5:$X$99,95,)</f>
        <v>5123.6973600000001</v>
      </c>
      <c r="G39" s="64">
        <f>HLOOKUP($B39,'Employee Input 18-19'!$M$5:$X$99,95,)</f>
        <v>5276.3282808000013</v>
      </c>
      <c r="H39" s="64">
        <f>HLOOKUP($B39,'Employee Input 19-20'!$M$5:$X$99,95,)</f>
        <v>5459.7397706279999</v>
      </c>
      <c r="L39"/>
      <c r="M39"/>
      <c r="N39"/>
      <c r="O39"/>
      <c r="P39"/>
    </row>
    <row r="40" spans="1:16" s="31" customFormat="1" x14ac:dyDescent="0.2">
      <c r="A40" s="36"/>
      <c r="B40" s="201" t="s">
        <v>936</v>
      </c>
      <c r="C40" s="137" t="s">
        <v>939</v>
      </c>
      <c r="D40" s="64">
        <f>HLOOKUP($B40,'Employee Input 15-16'!$M$5:$X$99,95,)</f>
        <v>0</v>
      </c>
      <c r="E40" s="64">
        <f>HLOOKUP($B40,'Employee Input 16-17'!$M$5:$X$99,95,)</f>
        <v>0</v>
      </c>
      <c r="F40" s="64">
        <f>HLOOKUP($B40,'Employee Input 17-18'!$M$5:$X$99,95,)</f>
        <v>0</v>
      </c>
      <c r="G40" s="64">
        <f>HLOOKUP($B40,'Employee Input 18-19'!$M$5:$X$99,95,)</f>
        <v>0</v>
      </c>
      <c r="H40" s="64">
        <f>HLOOKUP($B40,'Employee Input 19-20'!$M$5:$X$99,95,)</f>
        <v>0</v>
      </c>
      <c r="L40"/>
      <c r="M40"/>
      <c r="N40"/>
      <c r="O40"/>
      <c r="P40"/>
    </row>
    <row r="41" spans="1:16" s="31" customFormat="1" x14ac:dyDescent="0.2">
      <c r="A41" s="36"/>
      <c r="B41" s="133" t="s">
        <v>935</v>
      </c>
      <c r="C41" s="134" t="s">
        <v>940</v>
      </c>
      <c r="D41" s="64">
        <f>HLOOKUP($B41,'Employee Input 15-16'!$M$5:$X$99,95,)</f>
        <v>0</v>
      </c>
      <c r="E41" s="64">
        <f>HLOOKUP($B41,'Employee Input 16-17'!$M$5:$X$99,95,)</f>
        <v>0</v>
      </c>
      <c r="F41" s="64">
        <f>HLOOKUP($B41,'Employee Input 17-18'!$M$5:$X$99,95,)</f>
        <v>0</v>
      </c>
      <c r="G41" s="64">
        <f>HLOOKUP($B41,'Employee Input 18-19'!$M$5:$X$99,95,)</f>
        <v>0</v>
      </c>
      <c r="H41" s="64">
        <f>HLOOKUP($B41,'Employee Input 19-20'!$M$5:$X$99,95,)</f>
        <v>0</v>
      </c>
      <c r="L41"/>
      <c r="M41"/>
      <c r="N41"/>
      <c r="O41"/>
      <c r="P41"/>
    </row>
    <row r="42" spans="1:16" s="31" customFormat="1" x14ac:dyDescent="0.2">
      <c r="A42" s="36"/>
      <c r="B42" s="43" t="s">
        <v>739</v>
      </c>
      <c r="C42" s="34" t="s">
        <v>721</v>
      </c>
      <c r="D42" s="172">
        <f>IF(SUM(D32:D41)&gt;0,SUM(D32:D41),"")</f>
        <v>152014</v>
      </c>
      <c r="E42" s="172">
        <f>IF(SUM(E32:E41)&gt;0,SUM(E32:E41),"")</f>
        <v>145583.40379999997</v>
      </c>
      <c r="F42" s="172">
        <f>IF(SUM(F32:F41)&gt;0,SUM(F32:F41),"")</f>
        <v>153340.39474399999</v>
      </c>
      <c r="G42" s="172">
        <f>IF(SUM(G32:G41)&gt;0,SUM(G32:G41),"")</f>
        <v>155493.43458631999</v>
      </c>
      <c r="H42" s="172">
        <f>IF(SUM(H32:H41)&gt;0,SUM(H32:H41),"")</f>
        <v>158080.67079684121</v>
      </c>
      <c r="L42"/>
      <c r="M42"/>
      <c r="N42"/>
      <c r="O42"/>
      <c r="P42"/>
    </row>
    <row r="43" spans="1:16" s="31" customFormat="1" ht="17" thickBot="1" x14ac:dyDescent="0.25">
      <c r="A43" s="36"/>
      <c r="B43" s="40"/>
      <c r="C43" s="3"/>
      <c r="D43" s="195"/>
      <c r="E43" s="195"/>
      <c r="F43" s="195"/>
      <c r="G43" s="195"/>
      <c r="H43" s="195"/>
      <c r="L43"/>
      <c r="M43"/>
      <c r="N43"/>
      <c r="O43"/>
      <c r="P43"/>
    </row>
    <row r="44" spans="1:16" s="31" customFormat="1" x14ac:dyDescent="0.2">
      <c r="A44" s="34" t="s">
        <v>736</v>
      </c>
      <c r="B44" s="40"/>
      <c r="C44" s="3"/>
      <c r="D44" s="172">
        <f>IF(SUM(D17,D30,D42)&gt;0,SUM(D17,D30,D42),"")</f>
        <v>504787</v>
      </c>
      <c r="E44" s="172">
        <f>IF(SUM(E17,E30,E42)&gt;0,SUM(E17,E30,E42),"")</f>
        <v>560209.40379999997</v>
      </c>
      <c r="F44" s="172">
        <f>IF(SUM(F17,F30,F42)&gt;0,SUM(F17,F30,F42),"")</f>
        <v>580315.17474399996</v>
      </c>
      <c r="G44" s="172">
        <f>IF(SUM(G17,G30,G42)&gt;0,SUM(G17,G30,G42),"")</f>
        <v>595187.45798632002</v>
      </c>
      <c r="H44" s="172">
        <f>IF(SUM(H17,H30,H42)&gt;0,SUM(H17,H30,H42),"")</f>
        <v>613058.9850158412</v>
      </c>
      <c r="L44"/>
      <c r="M44"/>
      <c r="N44"/>
      <c r="O44"/>
      <c r="P44"/>
    </row>
    <row r="45" spans="1:16" s="31" customFormat="1" x14ac:dyDescent="0.2">
      <c r="A45" s="36"/>
      <c r="B45" s="40"/>
      <c r="C45" s="1"/>
      <c r="D45" s="187"/>
      <c r="E45" s="187"/>
      <c r="F45" s="187"/>
      <c r="G45" s="187"/>
      <c r="H45" s="187"/>
      <c r="L45"/>
      <c r="M45"/>
      <c r="N45"/>
      <c r="O45"/>
      <c r="P45"/>
    </row>
    <row r="46" spans="1:16" s="31" customFormat="1" x14ac:dyDescent="0.2">
      <c r="A46" s="34" t="s">
        <v>678</v>
      </c>
      <c r="B46" s="2"/>
      <c r="C46" s="3"/>
      <c r="D46" s="187"/>
      <c r="E46" s="187"/>
      <c r="F46" s="187"/>
      <c r="G46" s="187"/>
      <c r="H46" s="187"/>
      <c r="L46"/>
      <c r="M46"/>
      <c r="N46"/>
      <c r="O46"/>
      <c r="P46"/>
    </row>
    <row r="47" spans="1:16" s="31" customFormat="1" x14ac:dyDescent="0.2">
      <c r="A47" s="36"/>
      <c r="B47" s="66" t="str">
        <f>'Expenses Input'!B9</f>
        <v>4100</v>
      </c>
      <c r="C47" s="66" t="str">
        <f>'Expenses Input'!C9</f>
        <v>Approved Textbooks and Core Curricula Materials</v>
      </c>
      <c r="D47" s="64">
        <f>'Expenses Input'!D9</f>
        <v>26905</v>
      </c>
      <c r="E47" s="64">
        <f>'Expenses Input'!E9</f>
        <v>27389.29</v>
      </c>
      <c r="F47" s="64">
        <f>'Expenses Input'!F9</f>
        <v>28019.24367</v>
      </c>
      <c r="G47" s="64">
        <f>'Expenses Input'!G9</f>
        <v>28719.724761749996</v>
      </c>
      <c r="H47" s="64">
        <f>'Expenses Input'!H9</f>
        <v>29495.157330317244</v>
      </c>
      <c r="L47"/>
      <c r="M47"/>
      <c r="N47"/>
      <c r="O47"/>
      <c r="P47"/>
    </row>
    <row r="48" spans="1:16" x14ac:dyDescent="0.2">
      <c r="A48" s="36"/>
      <c r="B48" s="66" t="str">
        <f>'Expenses Input'!B10</f>
        <v>4200</v>
      </c>
      <c r="C48" s="66" t="str">
        <f>'Expenses Input'!C10</f>
        <v>Books and Other Reference Materials</v>
      </c>
      <c r="D48" s="64">
        <f>'Expenses Input'!D10</f>
        <v>2070</v>
      </c>
      <c r="E48" s="64">
        <f>'Expenses Input'!E10</f>
        <v>2107.2600000000002</v>
      </c>
      <c r="F48" s="64">
        <f>'Expenses Input'!F10</f>
        <v>2155.7269799999999</v>
      </c>
      <c r="G48" s="64">
        <f>'Expenses Input'!G10</f>
        <v>2209.6201544999999</v>
      </c>
      <c r="H48" s="64">
        <f>'Expenses Input'!H10</f>
        <v>2269.2798986714997</v>
      </c>
    </row>
    <row r="49" spans="1:8" x14ac:dyDescent="0.2">
      <c r="A49" s="36"/>
      <c r="B49" s="66" t="str">
        <f>'Expenses Input'!B11</f>
        <v>4300</v>
      </c>
      <c r="C49" s="66" t="str">
        <f>'Expenses Input'!C11</f>
        <v>Materials and Supplies</v>
      </c>
      <c r="D49" s="64">
        <f>'Expenses Input'!D11</f>
        <v>5387</v>
      </c>
      <c r="E49" s="64">
        <f>'Expenses Input'!E11</f>
        <v>5483.9660000000003</v>
      </c>
      <c r="F49" s="64">
        <f>'Expenses Input'!F11</f>
        <v>5610.0972179999999</v>
      </c>
      <c r="G49" s="64">
        <f>'Expenses Input'!G11</f>
        <v>5750.3496484499992</v>
      </c>
      <c r="H49" s="64">
        <f>'Expenses Input'!H11</f>
        <v>5905.6090889581483</v>
      </c>
    </row>
    <row r="50" spans="1:8" x14ac:dyDescent="0.2">
      <c r="A50" s="36"/>
      <c r="B50" s="66" t="str">
        <f>'Expenses Input'!B12</f>
        <v>4315</v>
      </c>
      <c r="C50" s="66" t="str">
        <f>'Expenses Input'!C12</f>
        <v>Classroom Materials and Supplies</v>
      </c>
      <c r="D50" s="64">
        <f>'Expenses Input'!D12</f>
        <v>3512</v>
      </c>
      <c r="E50" s="64">
        <f>'Expenses Input'!E12</f>
        <v>3575.2159999999999</v>
      </c>
      <c r="F50" s="64">
        <f>'Expenses Input'!F12</f>
        <v>3657.4459679999995</v>
      </c>
      <c r="G50" s="64">
        <f>'Expenses Input'!G12</f>
        <v>3748.8821171999994</v>
      </c>
      <c r="H50" s="64">
        <f>'Expenses Input'!H12</f>
        <v>3850.1019343643989</v>
      </c>
    </row>
    <row r="51" spans="1:8" x14ac:dyDescent="0.2">
      <c r="A51" s="36"/>
      <c r="B51" s="66" t="str">
        <f>'Expenses Input'!B13</f>
        <v>4400</v>
      </c>
      <c r="C51" s="66" t="str">
        <f>'Expenses Input'!C13</f>
        <v>Noncapitalized Equipment</v>
      </c>
      <c r="D51" s="64">
        <f>'Expenses Input'!D13</f>
        <v>3896</v>
      </c>
      <c r="E51" s="64">
        <f>'Expenses Input'!E13</f>
        <v>10000</v>
      </c>
      <c r="F51" s="64">
        <f>'Expenses Input'!F13</f>
        <v>10230</v>
      </c>
      <c r="G51" s="64">
        <f>'Expenses Input'!G13</f>
        <v>10485.75</v>
      </c>
      <c r="H51" s="64">
        <f>'Expenses Input'!H13</f>
        <v>10768.865249999999</v>
      </c>
    </row>
    <row r="52" spans="1:8" x14ac:dyDescent="0.2">
      <c r="A52" s="36"/>
      <c r="B52" s="66" t="str">
        <f>'Expenses Input'!B14</f>
        <v>4430</v>
      </c>
      <c r="C52" s="66" t="str">
        <f>'Expenses Input'!C14</f>
        <v>General Student Equipment</v>
      </c>
      <c r="D52" s="64">
        <f>'Expenses Input'!D14</f>
        <v>4011</v>
      </c>
      <c r="E52" s="64">
        <f>'Expenses Input'!E14</f>
        <v>4083.1979999999999</v>
      </c>
      <c r="F52" s="64">
        <f>'Expenses Input'!F14</f>
        <v>4177.1115539999992</v>
      </c>
      <c r="G52" s="64">
        <f>'Expenses Input'!G14</f>
        <v>4281.5393428499983</v>
      </c>
      <c r="H52" s="64">
        <f>'Expenses Input'!H14</f>
        <v>4397.1409051069477</v>
      </c>
    </row>
    <row r="53" spans="1:8" hidden="1" outlineLevel="1" x14ac:dyDescent="0.2">
      <c r="A53" s="36"/>
      <c r="B53" s="66">
        <f>'Expenses Input'!B15</f>
        <v>0</v>
      </c>
      <c r="C53" s="66">
        <f>'Expenses Input'!C15</f>
        <v>0</v>
      </c>
      <c r="D53" s="64" t="str">
        <f>'Expenses Input'!D15</f>
        <v/>
      </c>
      <c r="E53" s="64" t="str">
        <f>'Expenses Input'!E15</f>
        <v/>
      </c>
      <c r="F53" s="64" t="str">
        <f>'Expenses Input'!F15</f>
        <v/>
      </c>
      <c r="G53" s="64" t="str">
        <f>'Expenses Input'!G15</f>
        <v/>
      </c>
      <c r="H53" s="64" t="str">
        <f>'Expenses Input'!H15</f>
        <v/>
      </c>
    </row>
    <row r="54" spans="1:8" hidden="1" outlineLevel="1" x14ac:dyDescent="0.2">
      <c r="A54" s="36"/>
      <c r="B54" s="66">
        <f>'Expenses Input'!B16</f>
        <v>0</v>
      </c>
      <c r="C54" s="66">
        <f>'Expenses Input'!C16</f>
        <v>0</v>
      </c>
      <c r="D54" s="64" t="str">
        <f>'Expenses Input'!D16</f>
        <v/>
      </c>
      <c r="E54" s="64" t="str">
        <f>'Expenses Input'!E16</f>
        <v/>
      </c>
      <c r="F54" s="64" t="str">
        <f>'Expenses Input'!F16</f>
        <v/>
      </c>
      <c r="G54" s="64" t="str">
        <f>'Expenses Input'!G16</f>
        <v/>
      </c>
      <c r="H54" s="64" t="str">
        <f>'Expenses Input'!H16</f>
        <v/>
      </c>
    </row>
    <row r="55" spans="1:8" hidden="1" outlineLevel="1" x14ac:dyDescent="0.2">
      <c r="A55" s="36"/>
      <c r="B55" s="66">
        <f>'Expenses Input'!B17</f>
        <v>0</v>
      </c>
      <c r="C55" s="66">
        <f>'Expenses Input'!C17</f>
        <v>0</v>
      </c>
      <c r="D55" s="64" t="str">
        <f>'Expenses Input'!D17</f>
        <v/>
      </c>
      <c r="E55" s="64" t="str">
        <f>'Expenses Input'!E17</f>
        <v/>
      </c>
      <c r="F55" s="64" t="str">
        <f>'Expenses Input'!F17</f>
        <v/>
      </c>
      <c r="G55" s="64" t="str">
        <f>'Expenses Input'!G17</f>
        <v/>
      </c>
      <c r="H55" s="64" t="str">
        <f>'Expenses Input'!H17</f>
        <v/>
      </c>
    </row>
    <row r="56" spans="1:8" hidden="1" outlineLevel="1" x14ac:dyDescent="0.2">
      <c r="A56" s="36"/>
      <c r="B56" s="66">
        <f>'Expenses Input'!B18</f>
        <v>0</v>
      </c>
      <c r="C56" s="66">
        <f>'Expenses Input'!C18</f>
        <v>0</v>
      </c>
      <c r="D56" s="64" t="str">
        <f>'Expenses Input'!D18</f>
        <v/>
      </c>
      <c r="E56" s="64" t="str">
        <f>'Expenses Input'!E18</f>
        <v/>
      </c>
      <c r="F56" s="64" t="str">
        <f>'Expenses Input'!F18</f>
        <v/>
      </c>
      <c r="G56" s="64" t="str">
        <f>'Expenses Input'!G18</f>
        <v/>
      </c>
      <c r="H56" s="64" t="str">
        <f>'Expenses Input'!H18</f>
        <v/>
      </c>
    </row>
    <row r="57" spans="1:8" hidden="1" outlineLevel="1" x14ac:dyDescent="0.2">
      <c r="A57" s="36"/>
      <c r="B57" s="66">
        <f>'Expenses Input'!B19</f>
        <v>0</v>
      </c>
      <c r="C57" s="66">
        <f>'Expenses Input'!C19</f>
        <v>0</v>
      </c>
      <c r="D57" s="64" t="str">
        <f>'Expenses Input'!D19</f>
        <v/>
      </c>
      <c r="E57" s="64" t="str">
        <f>'Expenses Input'!E19</f>
        <v/>
      </c>
      <c r="F57" s="64" t="str">
        <f>'Expenses Input'!F19</f>
        <v/>
      </c>
      <c r="G57" s="64" t="str">
        <f>'Expenses Input'!G19</f>
        <v/>
      </c>
      <c r="H57" s="64" t="str">
        <f>'Expenses Input'!H19</f>
        <v/>
      </c>
    </row>
    <row r="58" spans="1:8" hidden="1" outlineLevel="1" x14ac:dyDescent="0.2">
      <c r="A58" s="36"/>
      <c r="B58" s="66">
        <f>'Expenses Input'!B20</f>
        <v>0</v>
      </c>
      <c r="C58" s="66">
        <f>'Expenses Input'!C20</f>
        <v>0</v>
      </c>
      <c r="D58" s="64" t="str">
        <f>'Expenses Input'!D20</f>
        <v/>
      </c>
      <c r="E58" s="64" t="str">
        <f>'Expenses Input'!E20</f>
        <v/>
      </c>
      <c r="F58" s="64" t="str">
        <f>'Expenses Input'!F20</f>
        <v/>
      </c>
      <c r="G58" s="64" t="str">
        <f>'Expenses Input'!G20</f>
        <v/>
      </c>
      <c r="H58" s="64" t="str">
        <f>'Expenses Input'!H20</f>
        <v/>
      </c>
    </row>
    <row r="59" spans="1:8" hidden="1" outlineLevel="1" x14ac:dyDescent="0.2">
      <c r="A59" s="36"/>
      <c r="B59" s="66">
        <f>'Expenses Input'!B21</f>
        <v>0</v>
      </c>
      <c r="C59" s="66">
        <f>'Expenses Input'!C21</f>
        <v>0</v>
      </c>
      <c r="D59" s="64" t="str">
        <f>'Expenses Input'!D21</f>
        <v/>
      </c>
      <c r="E59" s="64" t="str">
        <f>'Expenses Input'!E21</f>
        <v/>
      </c>
      <c r="F59" s="64" t="str">
        <f>'Expenses Input'!F21</f>
        <v/>
      </c>
      <c r="G59" s="64" t="str">
        <f>'Expenses Input'!G21</f>
        <v/>
      </c>
      <c r="H59" s="64" t="str">
        <f>'Expenses Input'!H21</f>
        <v/>
      </c>
    </row>
    <row r="60" spans="1:8" hidden="1" outlineLevel="1" x14ac:dyDescent="0.2">
      <c r="A60" s="36"/>
      <c r="B60" s="66">
        <f>'Expenses Input'!B22</f>
        <v>0</v>
      </c>
      <c r="C60" s="66">
        <f>'Expenses Input'!C22</f>
        <v>0</v>
      </c>
      <c r="D60" s="64" t="str">
        <f>'Expenses Input'!D22</f>
        <v/>
      </c>
      <c r="E60" s="64" t="str">
        <f>'Expenses Input'!E22</f>
        <v/>
      </c>
      <c r="F60" s="64" t="str">
        <f>'Expenses Input'!F22</f>
        <v/>
      </c>
      <c r="G60" s="64" t="str">
        <f>'Expenses Input'!G22</f>
        <v/>
      </c>
      <c r="H60" s="64" t="str">
        <f>'Expenses Input'!H22</f>
        <v/>
      </c>
    </row>
    <row r="61" spans="1:8" hidden="1" outlineLevel="1" x14ac:dyDescent="0.2">
      <c r="A61" s="36"/>
      <c r="B61" s="66">
        <f>'Expenses Input'!B23</f>
        <v>0</v>
      </c>
      <c r="C61" s="66">
        <f>'Expenses Input'!C23</f>
        <v>0</v>
      </c>
      <c r="D61" s="64" t="str">
        <f>'Expenses Input'!D23</f>
        <v/>
      </c>
      <c r="E61" s="64" t="str">
        <f>'Expenses Input'!E23</f>
        <v/>
      </c>
      <c r="F61" s="64" t="str">
        <f>'Expenses Input'!F23</f>
        <v/>
      </c>
      <c r="G61" s="64" t="str">
        <f>'Expenses Input'!G23</f>
        <v/>
      </c>
      <c r="H61" s="64" t="str">
        <f>'Expenses Input'!H23</f>
        <v/>
      </c>
    </row>
    <row r="62" spans="1:8" hidden="1" outlineLevel="1" x14ac:dyDescent="0.2">
      <c r="A62" s="36"/>
      <c r="B62" s="66">
        <f>'Expenses Input'!B24</f>
        <v>0</v>
      </c>
      <c r="C62" s="66">
        <f>'Expenses Input'!C24</f>
        <v>0</v>
      </c>
      <c r="D62" s="64" t="str">
        <f>'Expenses Input'!D24</f>
        <v/>
      </c>
      <c r="E62" s="64" t="str">
        <f>'Expenses Input'!E24</f>
        <v/>
      </c>
      <c r="F62" s="64" t="str">
        <f>'Expenses Input'!F24</f>
        <v/>
      </c>
      <c r="G62" s="64" t="str">
        <f>'Expenses Input'!G24</f>
        <v/>
      </c>
      <c r="H62" s="64" t="str">
        <f>'Expenses Input'!H24</f>
        <v/>
      </c>
    </row>
    <row r="63" spans="1:8" collapsed="1" x14ac:dyDescent="0.2">
      <c r="A63" s="36"/>
      <c r="B63" s="66" t="str">
        <f>'Expenses Input'!B25</f>
        <v>4700</v>
      </c>
      <c r="C63" s="66" t="str">
        <f>'Expenses Input'!C25</f>
        <v>Food and Food Supplies</v>
      </c>
      <c r="D63" s="64">
        <f>'Expenses Input'!D25</f>
        <v>464</v>
      </c>
      <c r="E63" s="64">
        <f>'Expenses Input'!E25</f>
        <v>472.35200000000003</v>
      </c>
      <c r="F63" s="64">
        <f>'Expenses Input'!F25</f>
        <v>483.21609599999999</v>
      </c>
      <c r="G63" s="64">
        <f>'Expenses Input'!G25</f>
        <v>495.29649839999996</v>
      </c>
      <c r="H63" s="64">
        <f>'Expenses Input'!H25</f>
        <v>508.66950385679991</v>
      </c>
    </row>
    <row r="64" spans="1:8" x14ac:dyDescent="0.2">
      <c r="A64" s="36"/>
      <c r="B64" s="33" t="s">
        <v>558</v>
      </c>
      <c r="C64" s="34" t="s">
        <v>721</v>
      </c>
      <c r="D64" s="172">
        <f>IF(SUM(D46:D63)&gt;0,SUM(D46:D63),"")</f>
        <v>46245</v>
      </c>
      <c r="E64" s="172">
        <f>IF(SUM(E46:E63)&gt;0,SUM(E46:E63),"")</f>
        <v>53111.281999999999</v>
      </c>
      <c r="F64" s="172">
        <f>IF(SUM(F46:F63)&gt;0,SUM(F46:F63),"")</f>
        <v>54332.841485999998</v>
      </c>
      <c r="G64" s="172">
        <f>IF(SUM(G46:G63)&gt;0,SUM(G46:G63),"")</f>
        <v>55691.162523149993</v>
      </c>
      <c r="H64" s="172">
        <f>IF(SUM(H46:H63)&gt;0,SUM(H46:H63),"")</f>
        <v>57194.823911275045</v>
      </c>
    </row>
    <row r="65" spans="1:8" x14ac:dyDescent="0.2">
      <c r="A65" s="36"/>
      <c r="B65" s="4"/>
      <c r="C65" s="3"/>
      <c r="D65" s="187"/>
      <c r="E65" s="187"/>
      <c r="F65" s="187"/>
      <c r="G65" s="187"/>
      <c r="H65" s="187"/>
    </row>
    <row r="66" spans="1:8" x14ac:dyDescent="0.2">
      <c r="A66" s="5" t="s">
        <v>722</v>
      </c>
      <c r="B66" s="4"/>
      <c r="C66" s="3"/>
      <c r="D66" s="187"/>
      <c r="E66" s="187"/>
      <c r="F66" s="187"/>
      <c r="G66" s="187"/>
      <c r="H66" s="187"/>
    </row>
    <row r="67" spans="1:8" x14ac:dyDescent="0.2">
      <c r="A67" s="36"/>
      <c r="B67" s="66" t="str">
        <f>'Expenses Input'!B29</f>
        <v>5200</v>
      </c>
      <c r="C67" s="66" t="str">
        <f>'Expenses Input'!C29</f>
        <v>Travel and Conferences</v>
      </c>
      <c r="D67" s="64">
        <f>+'Expenses Input'!D29</f>
        <v>4953</v>
      </c>
      <c r="E67" s="64">
        <f>'Expenses Input'!E29</f>
        <v>5042.1540000000005</v>
      </c>
      <c r="F67" s="64">
        <f>'Expenses Input'!F29</f>
        <v>5158.1235420000003</v>
      </c>
      <c r="G67" s="64">
        <f>'Expenses Input'!G29</f>
        <v>5287.0766305500001</v>
      </c>
      <c r="H67" s="64">
        <f>'Expenses Input'!H29</f>
        <v>5429.8276995748492</v>
      </c>
    </row>
    <row r="68" spans="1:8" x14ac:dyDescent="0.2">
      <c r="A68" s="36"/>
      <c r="B68" s="66" t="str">
        <f>'Expenses Input'!B30</f>
        <v>5210</v>
      </c>
      <c r="C68" s="66" t="str">
        <f>'Expenses Input'!C30</f>
        <v>Training and Development Expense</v>
      </c>
      <c r="D68" s="64">
        <f>+'Expenses Input'!D30</f>
        <v>1296</v>
      </c>
      <c r="E68" s="64">
        <f>'Expenses Input'!E30</f>
        <v>1319.328</v>
      </c>
      <c r="F68" s="64">
        <f>'Expenses Input'!F30</f>
        <v>1349.6725439999998</v>
      </c>
      <c r="G68" s="64">
        <f>'Expenses Input'!G30</f>
        <v>1383.4143575999997</v>
      </c>
      <c r="H68" s="64">
        <f>'Expenses Input'!H30</f>
        <v>1420.7665452551996</v>
      </c>
    </row>
    <row r="69" spans="1:8" x14ac:dyDescent="0.2">
      <c r="A69" s="36"/>
      <c r="B69" s="66" t="str">
        <f>'Expenses Input'!B31</f>
        <v>5300</v>
      </c>
      <c r="C69" s="66" t="str">
        <f>'Expenses Input'!C31</f>
        <v>Dues and Memberships</v>
      </c>
      <c r="D69" s="64">
        <f>+'Expenses Input'!D31</f>
        <v>7612</v>
      </c>
      <c r="E69" s="64">
        <f>'Expenses Input'!E31</f>
        <v>7749.0160000000005</v>
      </c>
      <c r="F69" s="64">
        <f>'Expenses Input'!F31</f>
        <v>7927.2433679999995</v>
      </c>
      <c r="G69" s="64">
        <f>'Expenses Input'!G31</f>
        <v>8125.424452199999</v>
      </c>
      <c r="H69" s="64">
        <f>'Expenses Input'!H31</f>
        <v>8344.810912409399</v>
      </c>
    </row>
    <row r="70" spans="1:8" x14ac:dyDescent="0.2">
      <c r="A70" s="36"/>
      <c r="B70" s="66" t="str">
        <f>'Expenses Input'!B32</f>
        <v>5400</v>
      </c>
      <c r="C70" s="66" t="str">
        <f>'Expenses Input'!C32</f>
        <v>Insurance</v>
      </c>
      <c r="D70" s="64">
        <f>+'Expenses Input'!D32</f>
        <v>14876</v>
      </c>
      <c r="E70" s="64">
        <f>'Expenses Input'!E32</f>
        <v>15143.768</v>
      </c>
      <c r="F70" s="64">
        <f>'Expenses Input'!F32</f>
        <v>15492.074663999998</v>
      </c>
      <c r="G70" s="64">
        <f>'Expenses Input'!G32</f>
        <v>15879.376530599997</v>
      </c>
      <c r="H70" s="64">
        <f>'Expenses Input'!H32</f>
        <v>16308.119696926195</v>
      </c>
    </row>
    <row r="71" spans="1:8" x14ac:dyDescent="0.2">
      <c r="A71" s="36"/>
      <c r="B71" s="66" t="str">
        <f>'Expenses Input'!B33</f>
        <v>5500</v>
      </c>
      <c r="C71" s="66" t="str">
        <f>'Expenses Input'!C33</f>
        <v>Operation and Housekeeping Services/Supplies</v>
      </c>
      <c r="D71" s="64">
        <f>+'Expenses Input'!D33</f>
        <v>8353</v>
      </c>
      <c r="E71" s="64">
        <f>'Expenses Input'!E33</f>
        <v>8503.3539999999994</v>
      </c>
      <c r="F71" s="64">
        <f>'Expenses Input'!F33</f>
        <v>8698.9311419999995</v>
      </c>
      <c r="G71" s="64">
        <f>'Expenses Input'!G33</f>
        <v>8916.4044205499995</v>
      </c>
      <c r="H71" s="64">
        <f>'Expenses Input'!H33</f>
        <v>9157.1473399048482</v>
      </c>
    </row>
    <row r="72" spans="1:8" x14ac:dyDescent="0.2">
      <c r="A72" s="36"/>
      <c r="B72" s="66" t="str">
        <f>'Expenses Input'!B34</f>
        <v>5501</v>
      </c>
      <c r="C72" s="66" t="str">
        <f>'Expenses Input'!C34</f>
        <v>Utilities</v>
      </c>
      <c r="D72" s="64">
        <f>+'Expenses Input'!D34</f>
        <v>0</v>
      </c>
      <c r="E72" s="64">
        <f>'Expenses Input'!E34</f>
        <v>0</v>
      </c>
      <c r="F72" s="64">
        <f>'Expenses Input'!F34</f>
        <v>0</v>
      </c>
      <c r="G72" s="64">
        <f>'Expenses Input'!G34</f>
        <v>0</v>
      </c>
      <c r="H72" s="64">
        <f>'Expenses Input'!H34</f>
        <v>0</v>
      </c>
    </row>
    <row r="73" spans="1:8" x14ac:dyDescent="0.2">
      <c r="A73" s="36"/>
      <c r="B73" s="66" t="str">
        <f>'Expenses Input'!B35</f>
        <v>5505</v>
      </c>
      <c r="C73" s="66" t="str">
        <f>'Expenses Input'!C35</f>
        <v>Student Transportation / Field Trips</v>
      </c>
      <c r="D73" s="64">
        <f>+'Expenses Input'!D35</f>
        <v>0</v>
      </c>
      <c r="E73" s="64">
        <f>'Expenses Input'!E35</f>
        <v>0</v>
      </c>
      <c r="F73" s="64">
        <f>'Expenses Input'!F35</f>
        <v>0</v>
      </c>
      <c r="G73" s="64">
        <f>'Expenses Input'!G35</f>
        <v>0</v>
      </c>
      <c r="H73" s="64">
        <f>'Expenses Input'!H35</f>
        <v>0</v>
      </c>
    </row>
    <row r="74" spans="1:8" x14ac:dyDescent="0.2">
      <c r="A74" s="36"/>
      <c r="B74" s="66" t="str">
        <f>'Expenses Input'!B36</f>
        <v>5600</v>
      </c>
      <c r="C74" s="66" t="str">
        <f>'Expenses Input'!C36</f>
        <v>Space Rental/Leases Expense</v>
      </c>
      <c r="D74" s="64">
        <f>+'Expenses Input'!D36</f>
        <v>51060</v>
      </c>
      <c r="E74" s="64">
        <f>'Expenses Input'!E36</f>
        <v>52078.2</v>
      </c>
      <c r="F74" s="64">
        <f>'Expenses Input'!F36</f>
        <v>53275.998599999992</v>
      </c>
      <c r="G74" s="64">
        <f>'Expenses Input'!G36</f>
        <v>54607.898564999989</v>
      </c>
      <c r="H74" s="64">
        <f>'Expenses Input'!H36</f>
        <v>56082.311826254983</v>
      </c>
    </row>
    <row r="75" spans="1:8" x14ac:dyDescent="0.2">
      <c r="A75" s="36"/>
      <c r="B75" s="66" t="str">
        <f>'Expenses Input'!B37</f>
        <v>5601</v>
      </c>
      <c r="C75" s="66" t="str">
        <f>'Expenses Input'!C37</f>
        <v>Building Maintenance</v>
      </c>
      <c r="D75" s="64">
        <f>+'Expenses Input'!D37</f>
        <v>799</v>
      </c>
      <c r="E75" s="64">
        <f>'Expenses Input'!E37</f>
        <v>813.38200000000006</v>
      </c>
      <c r="F75" s="64">
        <f>'Expenses Input'!F37</f>
        <v>832.089786</v>
      </c>
      <c r="G75" s="64">
        <f>'Expenses Input'!G37</f>
        <v>852.89203064999992</v>
      </c>
      <c r="H75" s="64">
        <f>'Expenses Input'!H37</f>
        <v>875.92011547754987</v>
      </c>
    </row>
    <row r="76" spans="1:8" x14ac:dyDescent="0.2">
      <c r="A76" s="36"/>
      <c r="B76" s="66" t="str">
        <f>'Expenses Input'!B38</f>
        <v>5602</v>
      </c>
      <c r="C76" s="66" t="str">
        <f>'Expenses Input'!C38</f>
        <v>Other Space Rental</v>
      </c>
      <c r="D76" s="64">
        <f>+'Expenses Input'!D38</f>
        <v>1120</v>
      </c>
      <c r="E76" s="64">
        <f>'Expenses Input'!E38</f>
        <v>1140.1600000000001</v>
      </c>
      <c r="F76" s="64">
        <f>'Expenses Input'!F38</f>
        <v>1166.3836799999999</v>
      </c>
      <c r="G76" s="64">
        <f>'Expenses Input'!G38</f>
        <v>1195.5432719999999</v>
      </c>
      <c r="H76" s="64">
        <f>'Expenses Input'!H38</f>
        <v>1227.8229403439998</v>
      </c>
    </row>
    <row r="77" spans="1:8" x14ac:dyDescent="0.2">
      <c r="A77" s="36"/>
      <c r="B77" s="66" t="str">
        <f>'Expenses Input'!B39</f>
        <v>5605</v>
      </c>
      <c r="C77" s="66" t="str">
        <f>'Expenses Input'!C39</f>
        <v>Equipment Rental/Lease Expense</v>
      </c>
      <c r="D77" s="64">
        <f>+'Expenses Input'!D39</f>
        <v>1358</v>
      </c>
      <c r="E77" s="64">
        <f>'Expenses Input'!E39</f>
        <v>1382.444</v>
      </c>
      <c r="F77" s="64">
        <f>'Expenses Input'!F39</f>
        <v>1414.2402119999999</v>
      </c>
      <c r="G77" s="64">
        <f>'Expenses Input'!G39</f>
        <v>1449.5962172999998</v>
      </c>
      <c r="H77" s="64">
        <f>'Expenses Input'!H39</f>
        <v>1488.7353151670998</v>
      </c>
    </row>
    <row r="78" spans="1:8" x14ac:dyDescent="0.2">
      <c r="A78" s="36"/>
      <c r="B78" s="66" t="str">
        <f>'Expenses Input'!B40</f>
        <v>5610</v>
      </c>
      <c r="C78" s="66" t="str">
        <f>'Expenses Input'!C40</f>
        <v>Equipment Repair</v>
      </c>
      <c r="D78" s="64">
        <f>+'Expenses Input'!D40</f>
        <v>712</v>
      </c>
      <c r="E78" s="64">
        <f>'Expenses Input'!E40</f>
        <v>724.81600000000003</v>
      </c>
      <c r="F78" s="64">
        <f>'Expenses Input'!F40</f>
        <v>741.48676799999998</v>
      </c>
      <c r="G78" s="64">
        <f>'Expenses Input'!G40</f>
        <v>760.02393719999986</v>
      </c>
      <c r="H78" s="64">
        <f>'Expenses Input'!H40</f>
        <v>780.54458350439984</v>
      </c>
    </row>
    <row r="79" spans="1:8" x14ac:dyDescent="0.2">
      <c r="A79" s="36"/>
      <c r="B79" s="66" t="str">
        <f>'Expenses Input'!B41</f>
        <v>5800</v>
      </c>
      <c r="C79" s="66" t="str">
        <f>'Expenses Input'!C41</f>
        <v>Professional/Consulting Services and Operating Expenditures</v>
      </c>
      <c r="D79" s="64">
        <f>+'Expenses Input'!D41</f>
        <v>47030</v>
      </c>
      <c r="E79" s="64">
        <f>'Expenses Input'!E41</f>
        <v>53876.54</v>
      </c>
      <c r="F79" s="64">
        <f>'Expenses Input'!F41</f>
        <v>55115.700419999994</v>
      </c>
      <c r="G79" s="64">
        <f>'Expenses Input'!G41</f>
        <v>56493.592930499988</v>
      </c>
      <c r="H79" s="64">
        <f>'Expenses Input'!H41</f>
        <v>58018.919939623484</v>
      </c>
    </row>
    <row r="80" spans="1:8" x14ac:dyDescent="0.2">
      <c r="A80" s="36"/>
      <c r="B80" s="66" t="str">
        <f>'Expenses Input'!B42</f>
        <v>5803</v>
      </c>
      <c r="C80" s="66" t="str">
        <f>'Expenses Input'!C42</f>
        <v>Banking and Payroll Service Fees</v>
      </c>
      <c r="D80" s="64">
        <f>+'Expenses Input'!D42</f>
        <v>2443</v>
      </c>
      <c r="E80" s="64">
        <f>'Expenses Input'!E42</f>
        <v>2486.9740000000002</v>
      </c>
      <c r="F80" s="64">
        <f>'Expenses Input'!F42</f>
        <v>2544.1744020000001</v>
      </c>
      <c r="G80" s="64">
        <f>'Expenses Input'!G42</f>
        <v>2607.7787620499998</v>
      </c>
      <c r="H80" s="64">
        <f>'Expenses Input'!H42</f>
        <v>2678.1887886253494</v>
      </c>
    </row>
    <row r="81" spans="1:8" x14ac:dyDescent="0.2">
      <c r="A81" s="36"/>
      <c r="B81" s="66" t="str">
        <f>'Expenses Input'!B43</f>
        <v>5805</v>
      </c>
      <c r="C81" s="66" t="str">
        <f>'Expenses Input'!C43</f>
        <v>Legal Services and Audit</v>
      </c>
      <c r="D81" s="64">
        <f>+'Expenses Input'!D43</f>
        <v>8400</v>
      </c>
      <c r="E81" s="64">
        <f>'Expenses Input'!E43</f>
        <v>8551.2000000000007</v>
      </c>
      <c r="F81" s="64">
        <f>'Expenses Input'!F43</f>
        <v>8747.8775999999998</v>
      </c>
      <c r="G81" s="64">
        <f>'Expenses Input'!G43</f>
        <v>8966.5745399999996</v>
      </c>
      <c r="H81" s="64">
        <f>'Expenses Input'!H43</f>
        <v>9208.6720525799992</v>
      </c>
    </row>
    <row r="82" spans="1:8" x14ac:dyDescent="0.2">
      <c r="A82" s="36"/>
      <c r="B82" s="66" t="str">
        <f>'Expenses Input'!B44</f>
        <v>5810</v>
      </c>
      <c r="C82" s="66" t="str">
        <f>'Expenses Input'!C44</f>
        <v>Educational Consultants</v>
      </c>
      <c r="D82" s="64">
        <f>+'Expenses Input'!D44</f>
        <v>43306</v>
      </c>
      <c r="E82" s="64">
        <f>'Expenses Input'!E44</f>
        <v>30585.508000000002</v>
      </c>
      <c r="F82" s="64">
        <f>'Expenses Input'!F44</f>
        <v>31288.974684000001</v>
      </c>
      <c r="G82" s="64">
        <f>'Expenses Input'!G44</f>
        <v>32071.199051099997</v>
      </c>
      <c r="H82" s="64">
        <f>'Expenses Input'!H44</f>
        <v>32937.121425479694</v>
      </c>
    </row>
    <row r="83" spans="1:8" x14ac:dyDescent="0.2">
      <c r="A83" s="36"/>
      <c r="B83" s="66" t="str">
        <f>'Expenses Input'!B45</f>
        <v>5815</v>
      </c>
      <c r="C83" s="66" t="str">
        <f>'Expenses Input'!C45</f>
        <v>Advertising / Recruiting</v>
      </c>
      <c r="D83" s="64">
        <f>+'Expenses Input'!D45</f>
        <v>592</v>
      </c>
      <c r="E83" s="64">
        <f>'Expenses Input'!E45</f>
        <v>602.65600000000006</v>
      </c>
      <c r="F83" s="64">
        <f>'Expenses Input'!F45</f>
        <v>616.51708800000006</v>
      </c>
      <c r="G83" s="64">
        <f>'Expenses Input'!G45</f>
        <v>631.93001519999996</v>
      </c>
      <c r="H83" s="64">
        <f>'Expenses Input'!H45</f>
        <v>648.99212561039985</v>
      </c>
    </row>
    <row r="84" spans="1:8" x14ac:dyDescent="0.2">
      <c r="A84" s="36"/>
      <c r="B84" s="66" t="str">
        <f>'Expenses Input'!B46</f>
        <v>5820</v>
      </c>
      <c r="C84" s="66" t="str">
        <f>'Expenses Input'!C46</f>
        <v>Fundraising Expense</v>
      </c>
      <c r="D84" s="64">
        <f>+'Expenses Input'!D46</f>
        <v>39508</v>
      </c>
      <c r="E84" s="64">
        <f>'Expenses Input'!E46</f>
        <v>40219.144</v>
      </c>
      <c r="F84" s="64">
        <f>'Expenses Input'!F46</f>
        <v>41144.184311999998</v>
      </c>
      <c r="G84" s="64">
        <f>'Expenses Input'!G46</f>
        <v>42172.78891979999</v>
      </c>
      <c r="H84" s="64">
        <f>'Expenses Input'!H46</f>
        <v>43311.454220634587</v>
      </c>
    </row>
    <row r="85" spans="1:8" x14ac:dyDescent="0.2">
      <c r="A85" s="36"/>
      <c r="B85" s="66" t="str">
        <f>'Expenses Input'!B47</f>
        <v>5875</v>
      </c>
      <c r="C85" s="66" t="str">
        <f>'Expenses Input'!C47</f>
        <v>District Oversight Fee</v>
      </c>
      <c r="D85" s="64">
        <f>+'Expenses Input'!D47</f>
        <v>8686.9338047452002</v>
      </c>
      <c r="E85" s="64">
        <f>'Expenses Input'!E47</f>
        <v>8843.2986132306141</v>
      </c>
      <c r="F85" s="64">
        <f>'Expenses Input'!F47</f>
        <v>9046.6944813349182</v>
      </c>
      <c r="G85" s="64">
        <f>'Expenses Input'!G47</f>
        <v>9272.8618433682896</v>
      </c>
      <c r="H85" s="64">
        <f>'Expenses Input'!H47</f>
        <v>9523.2291131392321</v>
      </c>
    </row>
    <row r="86" spans="1:8" x14ac:dyDescent="0.2">
      <c r="A86" s="36"/>
      <c r="B86" s="66" t="str">
        <f>'Expenses Input'!B48</f>
        <v>5890</v>
      </c>
      <c r="C86" s="66" t="str">
        <f>'Expenses Input'!C48</f>
        <v>Interest Expense / Misc. Fees</v>
      </c>
      <c r="D86" s="64">
        <f>+'Expenses Input'!D48</f>
        <v>276</v>
      </c>
      <c r="E86" s="64">
        <f>'Expenses Input'!E48</f>
        <v>280.96800000000002</v>
      </c>
      <c r="F86" s="64">
        <f>'Expenses Input'!F48</f>
        <v>287.43026399999997</v>
      </c>
      <c r="G86" s="64">
        <f>'Expenses Input'!G48</f>
        <v>294.61602059999996</v>
      </c>
      <c r="H86" s="64">
        <f>'Expenses Input'!H48</f>
        <v>302.57065315619991</v>
      </c>
    </row>
    <row r="87" spans="1:8" x14ac:dyDescent="0.2">
      <c r="A87" s="36"/>
      <c r="B87" s="66" t="str">
        <f>'Expenses Input'!B49</f>
        <v>5891</v>
      </c>
      <c r="C87" s="66" t="str">
        <f>'Expenses Input'!C49</f>
        <v>Charter School Capital Fees</v>
      </c>
      <c r="D87" s="64">
        <f>+'Expenses Input'!D49</f>
        <v>0</v>
      </c>
      <c r="E87" s="64">
        <f>'Expenses Input'!E49</f>
        <v>0</v>
      </c>
      <c r="F87" s="64">
        <f>'Expenses Input'!F49</f>
        <v>0</v>
      </c>
      <c r="G87" s="64">
        <f>'Expenses Input'!G49</f>
        <v>0</v>
      </c>
      <c r="H87" s="64">
        <f>'Expenses Input'!H49</f>
        <v>0</v>
      </c>
    </row>
    <row r="88" spans="1:8" x14ac:dyDescent="0.2">
      <c r="A88" s="36"/>
      <c r="B88" s="66" t="str">
        <f>'Expenses Input'!B50</f>
        <v>5899</v>
      </c>
      <c r="C88" s="66" t="str">
        <f>'Expenses Input'!C50</f>
        <v>CMO Management Fee</v>
      </c>
      <c r="D88" s="64">
        <f>+'Expenses Input'!D50</f>
        <v>0</v>
      </c>
      <c r="E88" s="64">
        <f>'Expenses Input'!E50</f>
        <v>0</v>
      </c>
      <c r="F88" s="64">
        <f>'Expenses Input'!F50</f>
        <v>0</v>
      </c>
      <c r="G88" s="64">
        <f>'Expenses Input'!G50</f>
        <v>0</v>
      </c>
      <c r="H88" s="64">
        <f>'Expenses Input'!H50</f>
        <v>0</v>
      </c>
    </row>
    <row r="89" spans="1:8" x14ac:dyDescent="0.2">
      <c r="A89" s="36"/>
      <c r="B89" s="66" t="str">
        <f>'Expenses Input'!B51</f>
        <v>5900</v>
      </c>
      <c r="C89" s="66" t="str">
        <f>'Expenses Input'!C51</f>
        <v>Communications</v>
      </c>
      <c r="D89" s="64">
        <f>+'Expenses Input'!D51</f>
        <v>3808</v>
      </c>
      <c r="E89" s="64">
        <f>'Expenses Input'!E51</f>
        <v>3876.5439999999999</v>
      </c>
      <c r="F89" s="64">
        <f>'Expenses Input'!F51</f>
        <v>3965.7045119999993</v>
      </c>
      <c r="G89" s="64">
        <f>'Expenses Input'!G51</f>
        <v>4064.8471247999992</v>
      </c>
      <c r="H89" s="64">
        <f>'Expenses Input'!H51</f>
        <v>4174.5979971695988</v>
      </c>
    </row>
    <row r="90" spans="1:8" hidden="1" outlineLevel="1" x14ac:dyDescent="0.2">
      <c r="A90" s="36"/>
      <c r="B90" s="66"/>
      <c r="C90" s="66"/>
      <c r="D90" s="64"/>
      <c r="E90" s="64"/>
      <c r="F90" s="64"/>
      <c r="G90" s="64"/>
      <c r="H90" s="64"/>
    </row>
    <row r="91" spans="1:8" hidden="1" outlineLevel="1" x14ac:dyDescent="0.2">
      <c r="A91" s="36"/>
      <c r="B91" s="66"/>
      <c r="C91" s="66"/>
      <c r="D91" s="64"/>
      <c r="E91" s="64"/>
      <c r="F91" s="64"/>
      <c r="G91" s="64"/>
      <c r="H91" s="64"/>
    </row>
    <row r="92" spans="1:8" hidden="1" outlineLevel="1" x14ac:dyDescent="0.2">
      <c r="A92" s="36"/>
      <c r="B92" s="66"/>
      <c r="C92" s="66"/>
      <c r="D92" s="64"/>
      <c r="E92" s="64"/>
      <c r="F92" s="64"/>
      <c r="G92" s="64"/>
      <c r="H92" s="64"/>
    </row>
    <row r="93" spans="1:8" hidden="1" outlineLevel="1" x14ac:dyDescent="0.2">
      <c r="A93" s="36"/>
      <c r="B93" s="66"/>
      <c r="C93" s="66"/>
      <c r="D93" s="64"/>
      <c r="E93" s="64"/>
      <c r="F93" s="64"/>
      <c r="G93" s="64"/>
      <c r="H93" s="64"/>
    </row>
    <row r="94" spans="1:8" hidden="1" outlineLevel="1" x14ac:dyDescent="0.2">
      <c r="A94" s="36"/>
      <c r="B94" s="66"/>
      <c r="C94" s="66"/>
      <c r="D94" s="64"/>
      <c r="E94" s="64"/>
      <c r="F94" s="64"/>
      <c r="G94" s="64"/>
      <c r="H94" s="64"/>
    </row>
    <row r="95" spans="1:8" hidden="1" outlineLevel="1" x14ac:dyDescent="0.2">
      <c r="A95" s="36"/>
      <c r="B95" s="66"/>
      <c r="C95" s="66"/>
      <c r="D95" s="64"/>
      <c r="E95" s="64"/>
      <c r="F95" s="64"/>
      <c r="G95" s="64"/>
      <c r="H95" s="64"/>
    </row>
    <row r="96" spans="1:8" hidden="1" outlineLevel="1" x14ac:dyDescent="0.2">
      <c r="A96" s="36"/>
      <c r="B96" s="66"/>
      <c r="C96" s="66"/>
      <c r="D96" s="64"/>
      <c r="E96" s="64"/>
      <c r="F96" s="64"/>
      <c r="G96" s="64"/>
      <c r="H96" s="64"/>
    </row>
    <row r="97" spans="1:8" hidden="1" outlineLevel="1" x14ac:dyDescent="0.2">
      <c r="A97" s="36"/>
      <c r="B97" s="66"/>
      <c r="C97" s="66"/>
      <c r="D97" s="64"/>
      <c r="E97" s="64"/>
      <c r="F97" s="64"/>
      <c r="G97" s="64"/>
      <c r="H97" s="64"/>
    </row>
    <row r="98" spans="1:8" collapsed="1" x14ac:dyDescent="0.2">
      <c r="A98" s="36"/>
      <c r="B98" s="66" t="str">
        <f>'Expenses Input'!B62</f>
        <v>5999</v>
      </c>
      <c r="C98" s="66" t="str">
        <f>'Expenses Input'!C62</f>
        <v>Expense Suspense</v>
      </c>
      <c r="D98" s="64">
        <f>+'Expenses Input'!D60</f>
        <v>0</v>
      </c>
      <c r="E98" s="64" t="str">
        <f>'Expenses Input'!E60</f>
        <v/>
      </c>
      <c r="F98" s="64" t="str">
        <f>'Expenses Input'!F60</f>
        <v/>
      </c>
      <c r="G98" s="64" t="str">
        <f>'Expenses Input'!G60</f>
        <v/>
      </c>
      <c r="H98" s="64" t="str">
        <f>'Expenses Input'!H60</f>
        <v/>
      </c>
    </row>
    <row r="99" spans="1:8" x14ac:dyDescent="0.2">
      <c r="A99" s="36"/>
      <c r="B99" s="33" t="s">
        <v>559</v>
      </c>
      <c r="C99" s="34" t="s">
        <v>721</v>
      </c>
      <c r="D99" s="172">
        <f>IF(SUM(D66:D98)&gt;0,SUM(D66:D98),"")</f>
        <v>246188.9338047452</v>
      </c>
      <c r="E99" s="172">
        <f>IF(SUM(E66:E98)&gt;0,SUM(E66:E98),"")</f>
        <v>243219.4546132306</v>
      </c>
      <c r="F99" s="172">
        <f>IF(SUM(F66:F98)&gt;0,SUM(F66:F98),"")</f>
        <v>248813.50206933491</v>
      </c>
      <c r="G99" s="172">
        <f>IF(SUM(G66:G98)&gt;0,SUM(G66:G98),"")</f>
        <v>255033.83962106824</v>
      </c>
      <c r="H99" s="172">
        <f>IF(SUM(H66:H98)&gt;0,SUM(H66:H98),"")</f>
        <v>261919.75329083708</v>
      </c>
    </row>
    <row r="100" spans="1:8" x14ac:dyDescent="0.2">
      <c r="A100" s="36"/>
      <c r="B100" s="4"/>
      <c r="C100" s="3"/>
      <c r="D100" s="187"/>
      <c r="E100" s="187"/>
      <c r="F100" s="187"/>
      <c r="G100" s="187"/>
      <c r="H100" s="187"/>
    </row>
    <row r="101" spans="1:8" x14ac:dyDescent="0.2">
      <c r="A101" s="34" t="s">
        <v>723</v>
      </c>
      <c r="B101" s="4"/>
      <c r="C101" s="3"/>
      <c r="D101" s="187"/>
      <c r="E101" s="187"/>
      <c r="F101" s="187"/>
      <c r="G101" s="187"/>
      <c r="H101" s="187"/>
    </row>
    <row r="102" spans="1:8" x14ac:dyDescent="0.2">
      <c r="A102" s="36"/>
      <c r="B102" s="66" t="str">
        <f>'Expenses Input'!B66</f>
        <v>6900</v>
      </c>
      <c r="C102" s="66" t="str">
        <f>'Expenses Input'!C66</f>
        <v xml:space="preserve">Depreciation Expense                                                            </v>
      </c>
      <c r="D102" s="64">
        <f>'Expenses Input'!D66</f>
        <v>2824</v>
      </c>
      <c r="E102" s="64">
        <f>'Expenses Input'!E66</f>
        <v>2824</v>
      </c>
      <c r="F102" s="64">
        <f>'Expenses Input'!F66</f>
        <v>2824</v>
      </c>
      <c r="G102" s="64">
        <f>'Expenses Input'!G66</f>
        <v>2824</v>
      </c>
      <c r="H102" s="64">
        <f>'Expenses Input'!H66</f>
        <v>2824</v>
      </c>
    </row>
    <row r="103" spans="1:8" x14ac:dyDescent="0.2">
      <c r="A103" s="36"/>
      <c r="B103" s="33" t="s">
        <v>560</v>
      </c>
      <c r="C103" s="34" t="s">
        <v>721</v>
      </c>
      <c r="D103" s="172">
        <f>IF(SUM(D101:D102)&gt;0,SUM(D101:D102),"")</f>
        <v>2824</v>
      </c>
      <c r="E103" s="172">
        <f>IF(SUM(E101:E102)&gt;0,SUM(E101:E102),"")</f>
        <v>2824</v>
      </c>
      <c r="F103" s="172">
        <f>IF(SUM(F101:F102)&gt;0,SUM(F101:F102),"")</f>
        <v>2824</v>
      </c>
      <c r="G103" s="172">
        <f>IF(SUM(G101:G102)&gt;0,SUM(G101:G102),"")</f>
        <v>2824</v>
      </c>
      <c r="H103" s="172">
        <f>IF(SUM(H101:H102)&gt;0,SUM(H101:H102),"")</f>
        <v>2824</v>
      </c>
    </row>
    <row r="104" spans="1:8" x14ac:dyDescent="0.2">
      <c r="A104" s="36"/>
      <c r="B104" s="4"/>
      <c r="C104" s="3"/>
      <c r="D104" s="187"/>
      <c r="E104" s="196"/>
      <c r="F104" s="196"/>
      <c r="G104" s="187"/>
      <c r="H104" s="187"/>
    </row>
    <row r="105" spans="1:8" x14ac:dyDescent="0.2">
      <c r="A105" s="34" t="s">
        <v>724</v>
      </c>
      <c r="B105" s="4"/>
      <c r="C105" s="3"/>
      <c r="D105" s="187"/>
      <c r="E105" s="196"/>
      <c r="F105" s="196"/>
      <c r="G105" s="187"/>
      <c r="H105" s="187"/>
    </row>
    <row r="106" spans="1:8" x14ac:dyDescent="0.2">
      <c r="A106" s="36"/>
      <c r="B106" s="66" t="str">
        <f>'Expenses Input'!B70</f>
        <v>7000</v>
      </c>
      <c r="C106" s="66" t="str">
        <f>'Expenses Input'!C70</f>
        <v>Miscellaneous Expense</v>
      </c>
      <c r="D106" s="64">
        <f>'Expenses Input'!D70</f>
        <v>0</v>
      </c>
      <c r="E106" s="64" t="str">
        <f>'Expenses Input'!E70</f>
        <v/>
      </c>
      <c r="F106" s="64" t="str">
        <f>'Expenses Input'!F70</f>
        <v/>
      </c>
      <c r="G106" s="64" t="str">
        <f>'Expenses Input'!G70</f>
        <v/>
      </c>
      <c r="H106" s="64" t="str">
        <f>'Expenses Input'!H70</f>
        <v/>
      </c>
    </row>
    <row r="107" spans="1:8" x14ac:dyDescent="0.2">
      <c r="A107" s="36"/>
      <c r="B107" s="66" t="str">
        <f>'Expenses Input'!B71</f>
        <v>7010</v>
      </c>
      <c r="C107" s="66" t="str">
        <f>'Expenses Input'!C71</f>
        <v>Special Education Encroachment</v>
      </c>
      <c r="D107" s="64">
        <f>'Expenses Input'!D71</f>
        <v>73078.0098</v>
      </c>
      <c r="E107" s="64">
        <f>'Expenses Input'!E71</f>
        <v>74824.334700000007</v>
      </c>
      <c r="F107" s="64">
        <f>'Expenses Input'!F71</f>
        <v>74824.334700000007</v>
      </c>
      <c r="G107" s="64">
        <f>'Expenses Input'!G71</f>
        <v>74824.334700000007</v>
      </c>
      <c r="H107" s="64">
        <f>'Expenses Input'!H71</f>
        <v>74824.334700000007</v>
      </c>
    </row>
    <row r="108" spans="1:8" x14ac:dyDescent="0.2">
      <c r="A108" s="36"/>
      <c r="B108" s="66" t="str">
        <f>'Expenses Input'!B72</f>
        <v>7438</v>
      </c>
      <c r="C108" s="66" t="str">
        <f>'Expenses Input'!C72</f>
        <v xml:space="preserve">Debt </v>
      </c>
      <c r="D108" s="64">
        <f>'Expenses Input'!D72</f>
        <v>0</v>
      </c>
      <c r="E108" s="64">
        <f>'Expenses Input'!E72</f>
        <v>0</v>
      </c>
      <c r="F108" s="64">
        <f>'Expenses Input'!F72</f>
        <v>0</v>
      </c>
      <c r="G108" s="64">
        <f>'Expenses Input'!G72</f>
        <v>0</v>
      </c>
      <c r="H108" s="64">
        <f>'Expenses Input'!H72</f>
        <v>0</v>
      </c>
    </row>
    <row r="109" spans="1:8" x14ac:dyDescent="0.2">
      <c r="A109" s="36"/>
      <c r="B109" s="66" t="str">
        <f>'Expenses Input'!B73</f>
        <v>7500</v>
      </c>
      <c r="C109" s="66" t="str">
        <f>'Expenses Input'!C73</f>
        <v>District Oversight Fee</v>
      </c>
      <c r="D109" s="64">
        <f>'Expenses Input'!D73</f>
        <v>0</v>
      </c>
      <c r="E109" s="64">
        <f>'Expenses Input'!E73</f>
        <v>0</v>
      </c>
      <c r="F109" s="64">
        <f>'Expenses Input'!F73</f>
        <v>0</v>
      </c>
      <c r="G109" s="64">
        <f>'Expenses Input'!G73</f>
        <v>0</v>
      </c>
      <c r="H109" s="64">
        <f>'Expenses Input'!H73</f>
        <v>0</v>
      </c>
    </row>
    <row r="110" spans="1:8" x14ac:dyDescent="0.2">
      <c r="A110" s="36"/>
      <c r="B110" s="33" t="s">
        <v>685</v>
      </c>
      <c r="C110" s="34" t="s">
        <v>725</v>
      </c>
      <c r="D110" s="172">
        <f>IF(SUM(D105:D109)&gt;0,SUM(D105:D109),"")</f>
        <v>73078.0098</v>
      </c>
      <c r="E110" s="172">
        <f>IF(SUM(E105:E109)&gt;0,SUM(E105:E109),"")</f>
        <v>74824.334700000007</v>
      </c>
      <c r="F110" s="172">
        <f>IF(SUM(F105:F109)&gt;0,SUM(F105:F109),"")</f>
        <v>74824.334700000007</v>
      </c>
      <c r="G110" s="172">
        <f>IF(SUM(G105:G109)&gt;0,SUM(G105:G109),"")</f>
        <v>74824.334700000007</v>
      </c>
      <c r="H110" s="172">
        <f>IF(SUM(H105:H109)&gt;0,SUM(H105:H109),"")</f>
        <v>74824.334700000007</v>
      </c>
    </row>
    <row r="111" spans="1:8" ht="17" thickBot="1" x14ac:dyDescent="0.25">
      <c r="A111" s="36"/>
      <c r="B111" s="4"/>
      <c r="C111" s="3"/>
      <c r="D111" s="197"/>
      <c r="E111" s="197"/>
      <c r="F111" s="197"/>
      <c r="G111" s="197"/>
      <c r="H111" s="197"/>
    </row>
    <row r="112" spans="1:8" x14ac:dyDescent="0.2">
      <c r="A112" s="34" t="s">
        <v>737</v>
      </c>
      <c r="B112" s="4"/>
      <c r="C112" s="3"/>
      <c r="D112" s="172">
        <f>IF(SUM(D64,D99,D103,D110)&gt;0,SUM(D64,D99,D103,D110),"")</f>
        <v>368335.9436047452</v>
      </c>
      <c r="E112" s="172">
        <f>IF(SUM(E64,E99,E103,E110)&gt;0,SUM(E64,E99,E103,E110),"")</f>
        <v>373979.07131323061</v>
      </c>
      <c r="F112" s="172">
        <f>IF(SUM(F64,F99,F103,F110)&gt;0,SUM(F64,F99,F103,F110),"")</f>
        <v>380794.6782553349</v>
      </c>
      <c r="G112" s="172">
        <f>IF(SUM(G64,G99,G103,G110)&gt;0,SUM(G64,G99,G103,G110),"")</f>
        <v>388373.33684421825</v>
      </c>
      <c r="H112" s="172">
        <f>IF(SUM(H64,H99,H103,H110)&gt;0,SUM(H64,H99,H103,H110),"")</f>
        <v>396762.91190211213</v>
      </c>
    </row>
    <row r="113" spans="1:8" x14ac:dyDescent="0.2">
      <c r="A113" s="36"/>
      <c r="D113" s="198"/>
      <c r="E113" s="198"/>
      <c r="F113" s="198"/>
      <c r="G113" s="198"/>
      <c r="H113" s="198"/>
    </row>
    <row r="114" spans="1:8" ht="17" thickBot="1" x14ac:dyDescent="0.25">
      <c r="A114" s="36"/>
      <c r="B114" s="4"/>
      <c r="C114" s="3"/>
      <c r="D114" s="186"/>
      <c r="E114" s="186"/>
      <c r="F114" s="186"/>
      <c r="G114" s="186"/>
      <c r="H114" s="186"/>
    </row>
    <row r="115" spans="1:8" x14ac:dyDescent="0.2">
      <c r="A115" s="34" t="s">
        <v>732</v>
      </c>
      <c r="B115" s="4"/>
      <c r="C115" s="3"/>
      <c r="D115" s="172">
        <f>IF(SUM(D112,D44)&gt;0,SUM(D112,D44),"")</f>
        <v>873122.9436047452</v>
      </c>
      <c r="E115" s="172">
        <f>IF(SUM(E112,E44)&gt;0,SUM(E112,E44),"")</f>
        <v>934188.47511323052</v>
      </c>
      <c r="F115" s="172">
        <f>IF(SUM(F112,F44)&gt;0,SUM(F112,F44),"")</f>
        <v>961109.85299933492</v>
      </c>
      <c r="G115" s="172">
        <f>IF(SUM(G112,G44)&gt;0,SUM(G112,G44),"")</f>
        <v>983560.79483053833</v>
      </c>
      <c r="H115" s="172">
        <f>IF(SUM(H112,H44)&gt;0,SUM(H112,H44),"")</f>
        <v>1009821.8969179534</v>
      </c>
    </row>
    <row r="116" spans="1:8" x14ac:dyDescent="0.2">
      <c r="A116" s="36"/>
      <c r="D116" s="187"/>
      <c r="E116" s="187"/>
      <c r="F116" s="187"/>
      <c r="G116" s="187"/>
      <c r="H116" s="187"/>
    </row>
    <row r="117" spans="1:8" x14ac:dyDescent="0.2">
      <c r="A117" s="36"/>
      <c r="D117" s="187"/>
      <c r="E117" s="187"/>
      <c r="F117" s="187"/>
      <c r="G117" s="187"/>
      <c r="H117" s="187"/>
    </row>
    <row r="118" spans="1:8" x14ac:dyDescent="0.2">
      <c r="A118" s="36"/>
      <c r="D118" s="187"/>
      <c r="E118" s="187"/>
      <c r="F118" s="187"/>
      <c r="G118" s="187"/>
      <c r="H118" s="187"/>
    </row>
    <row r="119" spans="1:8" x14ac:dyDescent="0.2">
      <c r="A119" s="36"/>
      <c r="D119" s="187"/>
      <c r="E119" s="187"/>
      <c r="F119" s="187"/>
      <c r="G119" s="187"/>
      <c r="H119" s="187"/>
    </row>
    <row r="120" spans="1:8" x14ac:dyDescent="0.2">
      <c r="A120" s="36"/>
      <c r="D120" s="187"/>
      <c r="E120" s="187"/>
      <c r="F120" s="187"/>
      <c r="G120" s="187"/>
      <c r="H120" s="187"/>
    </row>
    <row r="121" spans="1:8" x14ac:dyDescent="0.2">
      <c r="A121" s="36"/>
    </row>
    <row r="122" spans="1:8" x14ac:dyDescent="0.2">
      <c r="A122" s="36"/>
    </row>
    <row r="123" spans="1:8" x14ac:dyDescent="0.2">
      <c r="A123" s="36"/>
    </row>
    <row r="124" spans="1:8" x14ac:dyDescent="0.2">
      <c r="A124" s="36"/>
    </row>
    <row r="125" spans="1:8" x14ac:dyDescent="0.2">
      <c r="A125" s="36"/>
    </row>
    <row r="126" spans="1:8" x14ac:dyDescent="0.2">
      <c r="A126" s="36"/>
    </row>
    <row r="127" spans="1:8" x14ac:dyDescent="0.2">
      <c r="A127" s="36"/>
    </row>
    <row r="128" spans="1:8" x14ac:dyDescent="0.2">
      <c r="A128" s="36"/>
    </row>
    <row r="129" spans="1:1" x14ac:dyDescent="0.2">
      <c r="A129" s="36"/>
    </row>
  </sheetData>
  <pageMargins left="0.25" right="0.25" top="0.5" bottom="0.5" header="0.25" footer="0.25"/>
  <pageSetup scale="84" fitToHeight="3" orientation="landscape" r:id="rId1"/>
  <headerFooter alignWithMargins="0">
    <oddHeader>&amp;A</oddHeader>
    <oddFooter>Page &amp;P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pageSetUpPr fitToPage="1"/>
  </sheetPr>
  <dimension ref="A1:X101"/>
  <sheetViews>
    <sheetView workbookViewId="0">
      <pane xSplit="3" ySplit="6" topLeftCell="G76" activePane="bottomRight" state="frozen"/>
      <selection activeCell="D25" sqref="D25"/>
      <selection pane="topRight" activeCell="D25" sqref="D25"/>
      <selection pane="bottomLeft" activeCell="D25" sqref="D25"/>
      <selection pane="bottomRight" activeCell="D16" sqref="D16"/>
    </sheetView>
  </sheetViews>
  <sheetFormatPr baseColWidth="10" defaultColWidth="8.83203125" defaultRowHeight="16" outlineLevelRow="1" x14ac:dyDescent="0.2"/>
  <cols>
    <col min="1" max="1" width="2.1640625" style="6" customWidth="1"/>
    <col min="2" max="2" width="6.6640625" style="7" bestFit="1" customWidth="1"/>
    <col min="3" max="3" width="21.5" style="7" customWidth="1"/>
    <col min="4" max="4" width="11.6640625" style="7" customWidth="1"/>
    <col min="5" max="5" width="11.5" style="7" customWidth="1"/>
    <col min="6" max="6" width="8.83203125" style="7"/>
    <col min="7" max="8" width="14.5" style="7" bestFit="1" customWidth="1"/>
    <col min="9" max="9" width="11.5" style="7" bestFit="1" customWidth="1"/>
    <col min="10" max="10" width="11.5" style="7" customWidth="1"/>
    <col min="11" max="11" width="14.6640625" style="6" bestFit="1" customWidth="1"/>
    <col min="12" max="12" width="17.5" style="7" bestFit="1" customWidth="1"/>
    <col min="13" max="13" width="17" style="6" bestFit="1" customWidth="1"/>
    <col min="14" max="16" width="12.1640625" style="6" customWidth="1"/>
    <col min="17" max="17" width="12.1640625" style="7" customWidth="1"/>
    <col min="18" max="19" width="15.5" style="6" customWidth="1"/>
    <col min="20" max="20" width="19.5" style="6" customWidth="1"/>
    <col min="21" max="21" width="18.5" style="6" customWidth="1"/>
    <col min="22" max="22" width="19.6640625" style="6" customWidth="1"/>
    <col min="23" max="24" width="15.5" style="6" customWidth="1"/>
    <col min="25" max="16384" width="8.83203125" style="6"/>
  </cols>
  <sheetData>
    <row r="1" spans="1:24" ht="20" x14ac:dyDescent="0.2">
      <c r="A1" s="22" t="str">
        <f>'Student Info'!$A$1</f>
        <v>Three Rivers Charter School</v>
      </c>
    </row>
    <row r="2" spans="1:24" ht="18" x14ac:dyDescent="0.2">
      <c r="A2" s="21" t="s">
        <v>726</v>
      </c>
      <c r="L2" s="189">
        <v>0.03</v>
      </c>
      <c r="M2" s="8">
        <v>0.10730000000000001</v>
      </c>
      <c r="N2" s="348">
        <v>0.11847000000000001</v>
      </c>
      <c r="O2" s="8">
        <v>6.25E-2</v>
      </c>
      <c r="P2" s="8">
        <v>1.4500000000000001E-2</v>
      </c>
      <c r="Q2" s="349">
        <v>500</v>
      </c>
      <c r="R2" s="305"/>
      <c r="S2" s="8">
        <v>0.02</v>
      </c>
      <c r="T2" s="8">
        <v>1.2E-2</v>
      </c>
      <c r="V2" s="12">
        <f>(0.08*$K2/1000)+(0.025*$K2/1000)+(0.14%*$K2)+(0.05*$K2/10)</f>
        <v>0</v>
      </c>
    </row>
    <row r="3" spans="1:24" ht="18" x14ac:dyDescent="0.2">
      <c r="A3" s="21" t="str">
        <f>+'Student Info'!D7</f>
        <v>2015-16</v>
      </c>
      <c r="M3" s="9" t="s">
        <v>562</v>
      </c>
      <c r="N3" s="9" t="s">
        <v>563</v>
      </c>
      <c r="O3" s="9" t="s">
        <v>931</v>
      </c>
      <c r="P3" s="9" t="s">
        <v>672</v>
      </c>
      <c r="Q3" s="9" t="s">
        <v>566</v>
      </c>
      <c r="R3" s="9"/>
      <c r="S3" s="9" t="s">
        <v>670</v>
      </c>
      <c r="T3" s="9" t="s">
        <v>671</v>
      </c>
      <c r="U3" s="9"/>
      <c r="V3" s="9" t="s">
        <v>938</v>
      </c>
    </row>
    <row r="4" spans="1:24" ht="27" customHeight="1" x14ac:dyDescent="0.2"/>
    <row r="5" spans="1:24" x14ac:dyDescent="0.2">
      <c r="B5" s="13" t="s">
        <v>0</v>
      </c>
      <c r="H5" s="17" t="s">
        <v>677</v>
      </c>
      <c r="I5" s="13" t="s">
        <v>743</v>
      </c>
      <c r="J5" s="13" t="s">
        <v>1217</v>
      </c>
      <c r="K5" s="17" t="s">
        <v>675</v>
      </c>
      <c r="L5" s="13" t="s">
        <v>730</v>
      </c>
      <c r="M5" s="44" t="s">
        <v>30</v>
      </c>
      <c r="N5" s="44" t="s">
        <v>38</v>
      </c>
      <c r="O5" s="44" t="s">
        <v>927</v>
      </c>
      <c r="P5" s="44" t="s">
        <v>929</v>
      </c>
      <c r="Q5" s="45" t="s">
        <v>564</v>
      </c>
      <c r="R5" s="44" t="s">
        <v>718</v>
      </c>
      <c r="S5" s="44" t="s">
        <v>719</v>
      </c>
      <c r="T5" s="44" t="s">
        <v>720</v>
      </c>
      <c r="U5" s="44" t="s">
        <v>936</v>
      </c>
      <c r="V5" s="44" t="s">
        <v>935</v>
      </c>
      <c r="W5" s="19" t="s">
        <v>673</v>
      </c>
      <c r="X5" s="17" t="s">
        <v>677</v>
      </c>
    </row>
    <row r="6" spans="1:24" ht="17" thickBot="1" x14ac:dyDescent="0.25">
      <c r="A6" s="23"/>
      <c r="B6" s="24"/>
      <c r="C6" s="25" t="s">
        <v>1</v>
      </c>
      <c r="D6" s="25" t="s">
        <v>2</v>
      </c>
      <c r="E6" s="25" t="s">
        <v>4</v>
      </c>
      <c r="F6" s="24" t="s">
        <v>3</v>
      </c>
      <c r="G6" s="24" t="s">
        <v>5</v>
      </c>
      <c r="H6" s="26" t="s">
        <v>740</v>
      </c>
      <c r="I6" s="24" t="s">
        <v>744</v>
      </c>
      <c r="J6" s="24" t="s">
        <v>1216</v>
      </c>
      <c r="K6" s="26" t="s">
        <v>676</v>
      </c>
      <c r="L6" s="24" t="s">
        <v>731</v>
      </c>
      <c r="M6" s="27" t="s">
        <v>6</v>
      </c>
      <c r="N6" s="27" t="s">
        <v>7</v>
      </c>
      <c r="O6" s="200" t="s">
        <v>928</v>
      </c>
      <c r="P6" s="200" t="s">
        <v>930</v>
      </c>
      <c r="Q6" s="25" t="s">
        <v>565</v>
      </c>
      <c r="R6" s="27" t="s">
        <v>932</v>
      </c>
      <c r="S6" s="200" t="s">
        <v>933</v>
      </c>
      <c r="T6" s="200" t="s">
        <v>934</v>
      </c>
      <c r="U6" s="27" t="s">
        <v>937</v>
      </c>
      <c r="V6" s="200" t="s">
        <v>940</v>
      </c>
      <c r="W6" s="28" t="s">
        <v>674</v>
      </c>
      <c r="X6" s="26" t="s">
        <v>676</v>
      </c>
    </row>
    <row r="7" spans="1:24" x14ac:dyDescent="0.2">
      <c r="B7" s="14">
        <v>1100</v>
      </c>
      <c r="C7" s="342" t="s">
        <v>1223</v>
      </c>
      <c r="D7" s="15" t="s">
        <v>1224</v>
      </c>
      <c r="E7" s="15" t="s">
        <v>1201</v>
      </c>
      <c r="F7" s="14">
        <v>1</v>
      </c>
      <c r="G7" s="300">
        <v>45671.723251550007</v>
      </c>
      <c r="H7" s="10">
        <f t="shared" ref="H7:H17" si="0">+F7*G7</f>
        <v>45671.723251550007</v>
      </c>
      <c r="I7" s="11"/>
      <c r="J7" s="11"/>
      <c r="K7" s="10">
        <f t="shared" ref="K7:K17" si="1">SUM(H7:J7)</f>
        <v>45671.723251550007</v>
      </c>
      <c r="L7" s="16" t="s">
        <v>1199</v>
      </c>
      <c r="M7" s="10">
        <f t="shared" ref="M7:M18" si="2">IF($L7="STRS",$M$2*$K7,"")</f>
        <v>4900.575904891316</v>
      </c>
      <c r="N7" s="10" t="str">
        <f t="shared" ref="N7:N18" si="3">IF($L7="PERS",$N$2*$K7,"")</f>
        <v/>
      </c>
      <c r="O7" s="10" t="str">
        <f t="shared" ref="O7:O18" si="4">IF($L7="STRS","",$O$2*$K7)</f>
        <v/>
      </c>
      <c r="P7" s="10">
        <f t="shared" ref="P7:P17" si="5">$P$2*K7</f>
        <v>662.23998714747518</v>
      </c>
      <c r="Q7" s="350">
        <v>1489.23</v>
      </c>
      <c r="R7" s="12">
        <f>+Q7*12</f>
        <v>17870.760000000002</v>
      </c>
      <c r="S7" s="12">
        <f t="shared" ref="S7:S17" si="6">+K7*$S$2</f>
        <v>913.43446503100017</v>
      </c>
      <c r="T7" s="12">
        <f t="shared" ref="T7:T17" si="7">+K7*$T$2</f>
        <v>548.06067901860013</v>
      </c>
      <c r="U7" s="12"/>
      <c r="V7" s="12"/>
      <c r="W7" s="12">
        <f t="shared" ref="W7:W17" si="8">SUM(R7:V7,M7:P7)</f>
        <v>24895.071036088393</v>
      </c>
      <c r="X7" s="12">
        <f t="shared" ref="X7:X17" si="9">W7+K7</f>
        <v>70566.794287638404</v>
      </c>
    </row>
    <row r="8" spans="1:24" x14ac:dyDescent="0.2">
      <c r="B8" s="14">
        <v>1100</v>
      </c>
      <c r="C8" s="340" t="s">
        <v>1245</v>
      </c>
      <c r="D8" s="15" t="s">
        <v>1224</v>
      </c>
      <c r="E8" s="15" t="s">
        <v>1201</v>
      </c>
      <c r="F8" s="14">
        <v>1</v>
      </c>
      <c r="G8" s="300">
        <v>40000</v>
      </c>
      <c r="H8" s="10">
        <f t="shared" si="0"/>
        <v>40000</v>
      </c>
      <c r="I8" s="11">
        <v>1500</v>
      </c>
      <c r="J8" s="11"/>
      <c r="K8" s="10">
        <f t="shared" si="1"/>
        <v>41500</v>
      </c>
      <c r="L8" s="16" t="s">
        <v>1199</v>
      </c>
      <c r="M8" s="10">
        <f t="shared" si="2"/>
        <v>4452.95</v>
      </c>
      <c r="N8" s="10" t="str">
        <f t="shared" si="3"/>
        <v/>
      </c>
      <c r="O8" s="10" t="str">
        <f t="shared" si="4"/>
        <v/>
      </c>
      <c r="P8" s="10">
        <f t="shared" si="5"/>
        <v>601.75</v>
      </c>
      <c r="Q8" s="350">
        <v>2082.8200000000002</v>
      </c>
      <c r="R8" s="12">
        <f t="shared" ref="R8:R12" si="10">+Q8*12</f>
        <v>24993.840000000004</v>
      </c>
      <c r="S8" s="12">
        <f t="shared" si="6"/>
        <v>830</v>
      </c>
      <c r="T8" s="12">
        <f t="shared" si="7"/>
        <v>498</v>
      </c>
      <c r="U8" s="12"/>
      <c r="V8" s="12"/>
      <c r="W8" s="12">
        <f t="shared" si="8"/>
        <v>31376.540000000005</v>
      </c>
      <c r="X8" s="12">
        <f t="shared" si="9"/>
        <v>72876.540000000008</v>
      </c>
    </row>
    <row r="9" spans="1:24" x14ac:dyDescent="0.2">
      <c r="B9" s="14">
        <v>1100</v>
      </c>
      <c r="C9" s="342" t="s">
        <v>1226</v>
      </c>
      <c r="D9" s="15" t="s">
        <v>1224</v>
      </c>
      <c r="E9" s="15" t="s">
        <v>1201</v>
      </c>
      <c r="F9" s="14">
        <v>1</v>
      </c>
      <c r="G9" s="300">
        <v>41942.681500000006</v>
      </c>
      <c r="H9" s="10">
        <f t="shared" si="0"/>
        <v>41942.681500000006</v>
      </c>
      <c r="I9" s="11"/>
      <c r="J9" s="11"/>
      <c r="K9" s="10">
        <f t="shared" si="1"/>
        <v>41942.681500000006</v>
      </c>
      <c r="L9" s="16" t="s">
        <v>1199</v>
      </c>
      <c r="M9" s="10">
        <f t="shared" si="2"/>
        <v>4500.4497249500009</v>
      </c>
      <c r="N9" s="10" t="str">
        <f t="shared" si="3"/>
        <v/>
      </c>
      <c r="O9" s="10" t="str">
        <f t="shared" si="4"/>
        <v/>
      </c>
      <c r="P9" s="10">
        <f t="shared" si="5"/>
        <v>608.16888175000008</v>
      </c>
      <c r="Q9" s="350">
        <v>740.83</v>
      </c>
      <c r="R9" s="12">
        <f t="shared" si="10"/>
        <v>8889.9600000000009</v>
      </c>
      <c r="S9" s="12">
        <f t="shared" si="6"/>
        <v>838.85363000000018</v>
      </c>
      <c r="T9" s="12">
        <f t="shared" si="7"/>
        <v>503.31217800000007</v>
      </c>
      <c r="U9" s="12"/>
      <c r="V9" s="12"/>
      <c r="W9" s="12">
        <f t="shared" si="8"/>
        <v>15340.744414700002</v>
      </c>
      <c r="X9" s="12">
        <f t="shared" si="9"/>
        <v>57283.425914700012</v>
      </c>
    </row>
    <row r="10" spans="1:24" x14ac:dyDescent="0.2">
      <c r="B10" s="14">
        <v>1100</v>
      </c>
      <c r="C10" s="352" t="s">
        <v>1246</v>
      </c>
      <c r="D10" s="15" t="s">
        <v>1224</v>
      </c>
      <c r="E10" s="15" t="s">
        <v>1201</v>
      </c>
      <c r="F10" s="14">
        <v>1</v>
      </c>
      <c r="G10" s="300">
        <v>41000</v>
      </c>
      <c r="H10" s="10">
        <f t="shared" si="0"/>
        <v>41000</v>
      </c>
      <c r="I10" s="11"/>
      <c r="J10" s="11"/>
      <c r="K10" s="10">
        <f t="shared" si="1"/>
        <v>41000</v>
      </c>
      <c r="L10" s="16" t="s">
        <v>1199</v>
      </c>
      <c r="M10" s="10">
        <f t="shared" si="2"/>
        <v>4399.3</v>
      </c>
      <c r="N10" s="10" t="str">
        <f t="shared" si="3"/>
        <v/>
      </c>
      <c r="O10" s="10" t="str">
        <f t="shared" si="4"/>
        <v/>
      </c>
      <c r="P10" s="10">
        <f t="shared" si="5"/>
        <v>594.5</v>
      </c>
      <c r="Q10" s="350">
        <v>2108.62</v>
      </c>
      <c r="R10" s="12">
        <f t="shared" si="10"/>
        <v>25303.439999999999</v>
      </c>
      <c r="S10" s="12">
        <f t="shared" si="6"/>
        <v>820</v>
      </c>
      <c r="T10" s="12">
        <f t="shared" si="7"/>
        <v>492</v>
      </c>
      <c r="U10" s="12"/>
      <c r="V10" s="12"/>
      <c r="W10" s="12">
        <f t="shared" si="8"/>
        <v>31609.239999999998</v>
      </c>
      <c r="X10" s="12">
        <f t="shared" si="9"/>
        <v>72609.239999999991</v>
      </c>
    </row>
    <row r="11" spans="1:24" x14ac:dyDescent="0.2">
      <c r="B11" s="14">
        <v>1100</v>
      </c>
      <c r="C11" s="342" t="s">
        <v>1227</v>
      </c>
      <c r="D11" s="15" t="s">
        <v>1224</v>
      </c>
      <c r="E11" s="15" t="s">
        <v>1201</v>
      </c>
      <c r="F11" s="14">
        <v>1</v>
      </c>
      <c r="G11" s="300">
        <v>41322.109371125</v>
      </c>
      <c r="H11" s="10">
        <f t="shared" si="0"/>
        <v>41322.109371125</v>
      </c>
      <c r="I11" s="11"/>
      <c r="J11" s="11"/>
      <c r="K11" s="10">
        <f t="shared" si="1"/>
        <v>41322.109371125</v>
      </c>
      <c r="L11" s="16" t="s">
        <v>1199</v>
      </c>
      <c r="M11" s="10">
        <f t="shared" si="2"/>
        <v>4433.8623355217123</v>
      </c>
      <c r="N11" s="10" t="str">
        <f t="shared" si="3"/>
        <v/>
      </c>
      <c r="O11" s="10" t="str">
        <f t="shared" si="4"/>
        <v/>
      </c>
      <c r="P11" s="10">
        <f t="shared" si="5"/>
        <v>599.17058588131249</v>
      </c>
      <c r="Q11" s="350">
        <v>1476.93</v>
      </c>
      <c r="R11" s="12">
        <f t="shared" si="10"/>
        <v>17723.16</v>
      </c>
      <c r="S11" s="12">
        <f t="shared" si="6"/>
        <v>826.44218742249996</v>
      </c>
      <c r="T11" s="12">
        <f t="shared" si="7"/>
        <v>495.8653124535</v>
      </c>
      <c r="U11" s="12"/>
      <c r="V11" s="12"/>
      <c r="W11" s="12">
        <f t="shared" si="8"/>
        <v>24078.500421279026</v>
      </c>
      <c r="X11" s="12">
        <f t="shared" si="9"/>
        <v>65400.609792404022</v>
      </c>
    </row>
    <row r="12" spans="1:24" x14ac:dyDescent="0.2">
      <c r="B12" s="14">
        <v>1300</v>
      </c>
      <c r="C12" s="342" t="s">
        <v>1225</v>
      </c>
      <c r="D12" s="15" t="s">
        <v>1228</v>
      </c>
      <c r="E12" s="15" t="s">
        <v>1229</v>
      </c>
      <c r="F12" s="14">
        <v>1</v>
      </c>
      <c r="G12" s="300">
        <v>59004</v>
      </c>
      <c r="H12" s="10">
        <f t="shared" si="0"/>
        <v>59004</v>
      </c>
      <c r="I12" s="11">
        <v>1500</v>
      </c>
      <c r="J12" s="11"/>
      <c r="K12" s="10">
        <f t="shared" si="1"/>
        <v>60504</v>
      </c>
      <c r="L12" s="16" t="s">
        <v>1199</v>
      </c>
      <c r="M12" s="10">
        <f t="shared" si="2"/>
        <v>6492.0792000000001</v>
      </c>
      <c r="N12" s="10" t="str">
        <f t="shared" si="3"/>
        <v/>
      </c>
      <c r="O12" s="10" t="str">
        <f t="shared" si="4"/>
        <v/>
      </c>
      <c r="P12" s="10">
        <f t="shared" si="5"/>
        <v>877.30799999999999</v>
      </c>
      <c r="Q12" s="350">
        <v>747.14</v>
      </c>
      <c r="R12" s="12">
        <f t="shared" si="10"/>
        <v>8965.68</v>
      </c>
      <c r="S12" s="12">
        <f t="shared" si="6"/>
        <v>1210.08</v>
      </c>
      <c r="T12" s="12">
        <f t="shared" si="7"/>
        <v>726.048</v>
      </c>
      <c r="U12" s="12"/>
      <c r="V12" s="12"/>
      <c r="W12" s="12">
        <f t="shared" si="8"/>
        <v>18271.195200000002</v>
      </c>
      <c r="X12" s="12">
        <f t="shared" si="9"/>
        <v>78775.195200000002</v>
      </c>
    </row>
    <row r="13" spans="1:24" x14ac:dyDescent="0.2">
      <c r="B13" s="14">
        <v>2100</v>
      </c>
      <c r="C13" s="342" t="s">
        <v>1247</v>
      </c>
      <c r="D13" s="15" t="s">
        <v>1230</v>
      </c>
      <c r="E13" s="15" t="s">
        <v>1201</v>
      </c>
      <c r="F13" s="14">
        <v>1</v>
      </c>
      <c r="G13" s="300">
        <v>15000</v>
      </c>
      <c r="H13" s="10">
        <f t="shared" si="0"/>
        <v>15000</v>
      </c>
      <c r="I13" s="11"/>
      <c r="J13" s="11"/>
      <c r="K13" s="10">
        <f t="shared" si="1"/>
        <v>15000</v>
      </c>
      <c r="L13" s="16"/>
      <c r="M13" s="10" t="str">
        <f t="shared" si="2"/>
        <v/>
      </c>
      <c r="N13" s="10" t="str">
        <f t="shared" si="3"/>
        <v/>
      </c>
      <c r="O13" s="10">
        <f t="shared" si="4"/>
        <v>937.5</v>
      </c>
      <c r="P13" s="10">
        <f t="shared" si="5"/>
        <v>217.5</v>
      </c>
      <c r="Q13" s="350">
        <f t="shared" ref="Q13:Q18" si="11">+$Q$2</f>
        <v>500</v>
      </c>
      <c r="R13" s="12">
        <v>0</v>
      </c>
      <c r="S13" s="12">
        <f t="shared" si="6"/>
        <v>300</v>
      </c>
      <c r="T13" s="12">
        <f t="shared" si="7"/>
        <v>180</v>
      </c>
      <c r="U13" s="12"/>
      <c r="V13" s="12"/>
      <c r="W13" s="12">
        <f t="shared" si="8"/>
        <v>1635</v>
      </c>
      <c r="X13" s="12">
        <f t="shared" si="9"/>
        <v>16635</v>
      </c>
    </row>
    <row r="14" spans="1:24" x14ac:dyDescent="0.2">
      <c r="B14" s="14">
        <v>2100</v>
      </c>
      <c r="C14" s="342" t="s">
        <v>1231</v>
      </c>
      <c r="D14" s="15" t="s">
        <v>1232</v>
      </c>
      <c r="E14" s="15" t="s">
        <v>1201</v>
      </c>
      <c r="F14" s="14">
        <v>1</v>
      </c>
      <c r="G14" s="300">
        <v>15000</v>
      </c>
      <c r="H14" s="10">
        <f t="shared" si="0"/>
        <v>15000</v>
      </c>
      <c r="I14" s="11"/>
      <c r="J14" s="11"/>
      <c r="K14" s="10">
        <f t="shared" si="1"/>
        <v>15000</v>
      </c>
      <c r="L14" s="16"/>
      <c r="M14" s="10" t="str">
        <f t="shared" si="2"/>
        <v/>
      </c>
      <c r="N14" s="10" t="str">
        <f t="shared" si="3"/>
        <v/>
      </c>
      <c r="O14" s="10">
        <f t="shared" si="4"/>
        <v>937.5</v>
      </c>
      <c r="P14" s="10">
        <f t="shared" si="5"/>
        <v>217.5</v>
      </c>
      <c r="Q14" s="350">
        <f t="shared" si="11"/>
        <v>500</v>
      </c>
      <c r="R14" s="12">
        <v>0</v>
      </c>
      <c r="S14" s="12">
        <f t="shared" si="6"/>
        <v>300</v>
      </c>
      <c r="T14" s="12">
        <f t="shared" si="7"/>
        <v>180</v>
      </c>
      <c r="U14" s="12"/>
      <c r="V14" s="12"/>
      <c r="W14" s="12">
        <f t="shared" si="8"/>
        <v>1635</v>
      </c>
      <c r="X14" s="12">
        <f t="shared" si="9"/>
        <v>16635</v>
      </c>
    </row>
    <row r="15" spans="1:24" x14ac:dyDescent="0.2">
      <c r="B15" s="14">
        <v>2400</v>
      </c>
      <c r="C15" s="342" t="s">
        <v>1233</v>
      </c>
      <c r="D15" s="15" t="s">
        <v>1229</v>
      </c>
      <c r="E15" s="15" t="s">
        <v>1229</v>
      </c>
      <c r="F15" s="14">
        <v>1</v>
      </c>
      <c r="G15" s="300">
        <v>20600</v>
      </c>
      <c r="H15" s="10">
        <f t="shared" si="0"/>
        <v>20600</v>
      </c>
      <c r="I15" s="11"/>
      <c r="J15" s="11"/>
      <c r="K15" s="10">
        <f t="shared" si="1"/>
        <v>20600</v>
      </c>
      <c r="L15" s="16"/>
      <c r="M15" s="10" t="str">
        <f t="shared" si="2"/>
        <v/>
      </c>
      <c r="N15" s="10" t="str">
        <f t="shared" si="3"/>
        <v/>
      </c>
      <c r="O15" s="10">
        <f t="shared" si="4"/>
        <v>1287.5</v>
      </c>
      <c r="P15" s="10">
        <f t="shared" si="5"/>
        <v>298.7</v>
      </c>
      <c r="Q15" s="350">
        <f t="shared" si="11"/>
        <v>500</v>
      </c>
      <c r="R15" s="12">
        <v>0</v>
      </c>
      <c r="S15" s="12">
        <f t="shared" si="6"/>
        <v>412</v>
      </c>
      <c r="T15" s="12">
        <f t="shared" si="7"/>
        <v>247.20000000000002</v>
      </c>
      <c r="U15" s="12"/>
      <c r="V15" s="12"/>
      <c r="W15" s="12">
        <f t="shared" si="8"/>
        <v>2245.4</v>
      </c>
      <c r="X15" s="12">
        <f t="shared" si="9"/>
        <v>22845.4</v>
      </c>
    </row>
    <row r="16" spans="1:24" x14ac:dyDescent="0.2">
      <c r="B16" s="14">
        <v>2100</v>
      </c>
      <c r="C16" s="342" t="s">
        <v>1234</v>
      </c>
      <c r="D16" s="15" t="s">
        <v>1235</v>
      </c>
      <c r="E16" s="15" t="s">
        <v>1201</v>
      </c>
      <c r="F16" s="14">
        <v>1</v>
      </c>
      <c r="G16" s="300">
        <v>15000</v>
      </c>
      <c r="H16" s="10">
        <f t="shared" si="0"/>
        <v>15000</v>
      </c>
      <c r="I16" s="11"/>
      <c r="J16" s="11"/>
      <c r="K16" s="10">
        <f t="shared" si="1"/>
        <v>15000</v>
      </c>
      <c r="L16" s="16"/>
      <c r="M16" s="10" t="str">
        <f t="shared" si="2"/>
        <v/>
      </c>
      <c r="N16" s="10" t="str">
        <f t="shared" si="3"/>
        <v/>
      </c>
      <c r="O16" s="10">
        <f t="shared" si="4"/>
        <v>937.5</v>
      </c>
      <c r="P16" s="10">
        <f t="shared" si="5"/>
        <v>217.5</v>
      </c>
      <c r="Q16" s="350">
        <f t="shared" si="11"/>
        <v>500</v>
      </c>
      <c r="R16" s="12">
        <v>0</v>
      </c>
      <c r="S16" s="12">
        <f t="shared" si="6"/>
        <v>300</v>
      </c>
      <c r="T16" s="12">
        <f t="shared" si="7"/>
        <v>180</v>
      </c>
      <c r="U16" s="12"/>
      <c r="V16" s="12"/>
      <c r="W16" s="12">
        <f t="shared" si="8"/>
        <v>1635</v>
      </c>
      <c r="X16" s="12">
        <f t="shared" si="9"/>
        <v>16635</v>
      </c>
    </row>
    <row r="17" spans="2:24" x14ac:dyDescent="0.2">
      <c r="B17" s="14">
        <v>2100</v>
      </c>
      <c r="C17" s="340" t="s">
        <v>1237</v>
      </c>
      <c r="D17" s="15" t="s">
        <v>1235</v>
      </c>
      <c r="E17" s="15" t="s">
        <v>1201</v>
      </c>
      <c r="F17" s="14">
        <v>1</v>
      </c>
      <c r="G17" s="300">
        <v>15000</v>
      </c>
      <c r="H17" s="10">
        <f t="shared" si="0"/>
        <v>15000</v>
      </c>
      <c r="I17" s="11"/>
      <c r="J17" s="11"/>
      <c r="K17" s="10">
        <f t="shared" si="1"/>
        <v>15000</v>
      </c>
      <c r="L17" s="16"/>
      <c r="M17" s="10" t="str">
        <f t="shared" si="2"/>
        <v/>
      </c>
      <c r="N17" s="10" t="str">
        <f t="shared" si="3"/>
        <v/>
      </c>
      <c r="O17" s="10">
        <f t="shared" si="4"/>
        <v>937.5</v>
      </c>
      <c r="P17" s="10">
        <f t="shared" si="5"/>
        <v>217.5</v>
      </c>
      <c r="Q17" s="350">
        <f t="shared" si="11"/>
        <v>500</v>
      </c>
      <c r="R17" s="12">
        <v>0</v>
      </c>
      <c r="S17" s="12">
        <f t="shared" si="6"/>
        <v>300</v>
      </c>
      <c r="T17" s="12">
        <f t="shared" si="7"/>
        <v>180</v>
      </c>
      <c r="U17" s="12"/>
      <c r="V17" s="12"/>
      <c r="W17" s="12">
        <f t="shared" si="8"/>
        <v>1635</v>
      </c>
      <c r="X17" s="12">
        <f t="shared" si="9"/>
        <v>16635</v>
      </c>
    </row>
    <row r="18" spans="2:24" x14ac:dyDescent="0.2">
      <c r="B18" s="14">
        <v>2100</v>
      </c>
      <c r="C18" s="15" t="s">
        <v>1248</v>
      </c>
      <c r="D18" s="15" t="s">
        <v>1238</v>
      </c>
      <c r="E18" s="15" t="s">
        <v>1201</v>
      </c>
      <c r="F18" s="14">
        <v>1</v>
      </c>
      <c r="G18" s="300">
        <v>5000</v>
      </c>
      <c r="H18" s="10">
        <f t="shared" ref="H18" si="12">+F18*G18</f>
        <v>5000</v>
      </c>
      <c r="I18" s="11"/>
      <c r="J18" s="11"/>
      <c r="K18" s="10">
        <f t="shared" ref="K18" si="13">SUM(H18:J18)</f>
        <v>5000</v>
      </c>
      <c r="L18" s="16"/>
      <c r="M18" s="10" t="str">
        <f t="shared" si="2"/>
        <v/>
      </c>
      <c r="N18" s="10" t="str">
        <f t="shared" si="3"/>
        <v/>
      </c>
      <c r="O18" s="10">
        <f t="shared" si="4"/>
        <v>312.5</v>
      </c>
      <c r="P18" s="10">
        <f t="shared" ref="P18" si="14">$P$2*K18</f>
        <v>72.5</v>
      </c>
      <c r="Q18" s="350">
        <f t="shared" si="11"/>
        <v>500</v>
      </c>
      <c r="R18" s="12">
        <v>0</v>
      </c>
      <c r="S18" s="12">
        <f t="shared" ref="S18" si="15">+K18*$S$2</f>
        <v>100</v>
      </c>
      <c r="T18" s="12">
        <f t="shared" ref="T18" si="16">+K18*$T$2</f>
        <v>60</v>
      </c>
      <c r="U18" s="12"/>
      <c r="V18" s="12"/>
      <c r="W18" s="12">
        <f t="shared" ref="W18" si="17">SUM(R18:V18,M18:P18)</f>
        <v>545</v>
      </c>
      <c r="X18" s="12">
        <f t="shared" ref="X18" si="18">W18+K18</f>
        <v>5545</v>
      </c>
    </row>
    <row r="19" spans="2:24" outlineLevel="1" x14ac:dyDescent="0.2">
      <c r="B19" s="14"/>
      <c r="C19" s="15"/>
      <c r="D19" s="15"/>
      <c r="E19" s="15"/>
      <c r="F19" s="14"/>
      <c r="G19" s="300"/>
      <c r="H19" s="10"/>
      <c r="I19" s="11"/>
      <c r="J19" s="11"/>
      <c r="K19" s="10"/>
      <c r="L19" s="16"/>
      <c r="M19" s="10"/>
      <c r="N19" s="10"/>
      <c r="O19" s="10"/>
      <c r="P19" s="10"/>
      <c r="Q19" s="303"/>
      <c r="R19" s="12"/>
      <c r="S19" s="12"/>
      <c r="T19" s="12"/>
      <c r="U19" s="12"/>
      <c r="V19" s="12"/>
      <c r="W19" s="12"/>
      <c r="X19" s="12"/>
    </row>
    <row r="20" spans="2:24" outlineLevel="1" x14ac:dyDescent="0.2">
      <c r="B20" s="14"/>
      <c r="C20" s="15"/>
      <c r="D20" s="15"/>
      <c r="E20" s="15"/>
      <c r="F20" s="14"/>
      <c r="G20" s="300"/>
      <c r="H20" s="10"/>
      <c r="I20" s="11"/>
      <c r="J20" s="11"/>
      <c r="K20" s="10"/>
      <c r="L20" s="16"/>
      <c r="M20" s="10"/>
      <c r="N20" s="10"/>
      <c r="O20" s="10"/>
      <c r="P20" s="10"/>
      <c r="Q20" s="303"/>
      <c r="R20" s="12"/>
      <c r="S20" s="12"/>
      <c r="T20" s="12"/>
      <c r="U20" s="12"/>
      <c r="V20" s="12"/>
      <c r="W20" s="12"/>
      <c r="X20" s="12"/>
    </row>
    <row r="21" spans="2:24" outlineLevel="1" x14ac:dyDescent="0.2">
      <c r="B21" s="14"/>
      <c r="C21" s="15"/>
      <c r="D21" s="15"/>
      <c r="E21" s="15"/>
      <c r="F21" s="14"/>
      <c r="G21" s="300"/>
      <c r="H21" s="10"/>
      <c r="I21" s="11"/>
      <c r="J21" s="11"/>
      <c r="K21" s="10"/>
      <c r="L21" s="16"/>
      <c r="M21" s="10"/>
      <c r="N21" s="10"/>
      <c r="O21" s="10"/>
      <c r="P21" s="10"/>
      <c r="Q21" s="303"/>
      <c r="R21" s="12"/>
      <c r="S21" s="12"/>
      <c r="T21" s="12"/>
      <c r="U21" s="12"/>
      <c r="V21" s="12"/>
      <c r="W21" s="12"/>
      <c r="X21" s="12"/>
    </row>
    <row r="22" spans="2:24" outlineLevel="1" x14ac:dyDescent="0.2">
      <c r="B22" s="14"/>
      <c r="C22" s="15"/>
      <c r="D22" s="15"/>
      <c r="E22" s="15"/>
      <c r="F22" s="14"/>
      <c r="G22" s="300"/>
      <c r="H22" s="10"/>
      <c r="I22" s="11"/>
      <c r="J22" s="11"/>
      <c r="K22" s="10"/>
      <c r="L22" s="16"/>
      <c r="M22" s="10"/>
      <c r="N22" s="10"/>
      <c r="O22" s="10"/>
      <c r="P22" s="10"/>
      <c r="Q22" s="303"/>
      <c r="R22" s="12"/>
      <c r="S22" s="12"/>
      <c r="T22" s="12"/>
      <c r="U22" s="12"/>
      <c r="V22" s="12"/>
      <c r="W22" s="12"/>
      <c r="X22" s="12"/>
    </row>
    <row r="23" spans="2:24" outlineLevel="1" x14ac:dyDescent="0.2">
      <c r="B23" s="14"/>
      <c r="C23" s="15"/>
      <c r="D23" s="15"/>
      <c r="E23" s="15"/>
      <c r="F23" s="14"/>
      <c r="G23" s="300"/>
      <c r="H23" s="10"/>
      <c r="I23" s="11"/>
      <c r="J23" s="11"/>
      <c r="K23" s="10"/>
      <c r="L23" s="16"/>
      <c r="M23" s="10"/>
      <c r="N23" s="10"/>
      <c r="O23" s="10"/>
      <c r="P23" s="10"/>
      <c r="Q23" s="303"/>
      <c r="R23" s="12"/>
      <c r="S23" s="12"/>
      <c r="T23" s="12"/>
      <c r="U23" s="12"/>
      <c r="V23" s="12"/>
      <c r="W23" s="12"/>
      <c r="X23" s="12"/>
    </row>
    <row r="24" spans="2:24" outlineLevel="1" x14ac:dyDescent="0.2">
      <c r="B24" s="14"/>
      <c r="C24" s="15"/>
      <c r="D24" s="15"/>
      <c r="E24" s="15"/>
      <c r="F24" s="14"/>
      <c r="G24" s="300"/>
      <c r="H24" s="10"/>
      <c r="I24" s="11"/>
      <c r="J24" s="11"/>
      <c r="K24" s="10"/>
      <c r="L24" s="16"/>
      <c r="M24" s="10"/>
      <c r="N24" s="10"/>
      <c r="O24" s="10"/>
      <c r="P24" s="10"/>
      <c r="Q24" s="303"/>
      <c r="R24" s="12"/>
      <c r="S24" s="12"/>
      <c r="T24" s="12"/>
      <c r="U24" s="12"/>
      <c r="V24" s="12"/>
      <c r="W24" s="12"/>
      <c r="X24" s="12"/>
    </row>
    <row r="25" spans="2:24" outlineLevel="1" x14ac:dyDescent="0.2">
      <c r="B25" s="14"/>
      <c r="C25" s="15"/>
      <c r="D25" s="15"/>
      <c r="E25" s="15"/>
      <c r="F25" s="14"/>
      <c r="G25" s="300"/>
      <c r="H25" s="10"/>
      <c r="I25" s="11"/>
      <c r="J25" s="11"/>
      <c r="K25" s="10"/>
      <c r="L25" s="16"/>
      <c r="M25" s="10"/>
      <c r="N25" s="10"/>
      <c r="O25" s="10"/>
      <c r="P25" s="10"/>
      <c r="Q25" s="303"/>
      <c r="R25" s="12"/>
      <c r="S25" s="12"/>
      <c r="T25" s="12"/>
      <c r="U25" s="12"/>
      <c r="V25" s="12"/>
      <c r="W25" s="12"/>
      <c r="X25" s="12"/>
    </row>
    <row r="26" spans="2:24" outlineLevel="1" x14ac:dyDescent="0.2">
      <c r="B26" s="14"/>
      <c r="C26" s="15"/>
      <c r="D26" s="15"/>
      <c r="E26" s="15"/>
      <c r="F26" s="14"/>
      <c r="G26" s="300"/>
      <c r="H26" s="10"/>
      <c r="I26" s="11"/>
      <c r="J26" s="11"/>
      <c r="K26" s="10"/>
      <c r="L26" s="16"/>
      <c r="M26" s="10"/>
      <c r="N26" s="10"/>
      <c r="O26" s="10"/>
      <c r="P26" s="10"/>
      <c r="Q26" s="303"/>
      <c r="R26" s="12"/>
      <c r="S26" s="12"/>
      <c r="T26" s="12"/>
      <c r="U26" s="12"/>
      <c r="V26" s="12"/>
      <c r="W26" s="12"/>
      <c r="X26" s="12"/>
    </row>
    <row r="27" spans="2:24" outlineLevel="1" x14ac:dyDescent="0.2">
      <c r="B27" s="14"/>
      <c r="C27" s="15"/>
      <c r="D27" s="15"/>
      <c r="E27" s="15"/>
      <c r="F27" s="14"/>
      <c r="G27" s="300"/>
      <c r="H27" s="10"/>
      <c r="I27" s="11"/>
      <c r="J27" s="11"/>
      <c r="K27" s="10"/>
      <c r="L27" s="16"/>
      <c r="M27" s="10"/>
      <c r="N27" s="10"/>
      <c r="O27" s="10"/>
      <c r="P27" s="10"/>
      <c r="Q27" s="303"/>
      <c r="R27" s="12"/>
      <c r="S27" s="12"/>
      <c r="T27" s="12"/>
      <c r="U27" s="12"/>
      <c r="V27" s="12"/>
      <c r="W27" s="12"/>
      <c r="X27" s="12"/>
    </row>
    <row r="28" spans="2:24" outlineLevel="1" x14ac:dyDescent="0.2">
      <c r="B28" s="14"/>
      <c r="C28" s="15"/>
      <c r="D28" s="15"/>
      <c r="E28" s="15"/>
      <c r="F28" s="14"/>
      <c r="G28" s="300"/>
      <c r="H28" s="10"/>
      <c r="I28" s="11"/>
      <c r="J28" s="11"/>
      <c r="K28" s="10"/>
      <c r="L28" s="16"/>
      <c r="M28" s="10"/>
      <c r="N28" s="10"/>
      <c r="O28" s="10"/>
      <c r="P28" s="10"/>
      <c r="Q28" s="303"/>
      <c r="R28" s="12"/>
      <c r="S28" s="12"/>
      <c r="T28" s="12"/>
      <c r="U28" s="12"/>
      <c r="V28" s="12"/>
      <c r="W28" s="12"/>
      <c r="X28" s="12"/>
    </row>
    <row r="29" spans="2:24" outlineLevel="1" x14ac:dyDescent="0.2">
      <c r="B29" s="14"/>
      <c r="C29" s="15"/>
      <c r="D29" s="15"/>
      <c r="E29" s="15"/>
      <c r="F29" s="14"/>
      <c r="G29" s="300"/>
      <c r="H29" s="10"/>
      <c r="I29" s="11"/>
      <c r="J29" s="11"/>
      <c r="K29" s="10"/>
      <c r="L29" s="16"/>
      <c r="M29" s="10"/>
      <c r="N29" s="10"/>
      <c r="O29" s="10"/>
      <c r="P29" s="10"/>
      <c r="Q29" s="303"/>
      <c r="R29" s="12"/>
      <c r="S29" s="12"/>
      <c r="T29" s="12"/>
      <c r="U29" s="12"/>
      <c r="V29" s="12"/>
      <c r="W29" s="12"/>
      <c r="X29" s="12"/>
    </row>
    <row r="30" spans="2:24" outlineLevel="1" x14ac:dyDescent="0.2">
      <c r="B30" s="14"/>
      <c r="C30" s="15"/>
      <c r="D30" s="15"/>
      <c r="E30" s="15"/>
      <c r="F30" s="14"/>
      <c r="G30" s="300"/>
      <c r="H30" s="10"/>
      <c r="I30" s="11"/>
      <c r="J30" s="11"/>
      <c r="K30" s="10"/>
      <c r="L30" s="16"/>
      <c r="M30" s="10"/>
      <c r="N30" s="10"/>
      <c r="O30" s="10"/>
      <c r="P30" s="10"/>
      <c r="Q30" s="303"/>
      <c r="R30" s="12"/>
      <c r="S30" s="12"/>
      <c r="T30" s="12"/>
      <c r="U30" s="12"/>
      <c r="V30" s="12"/>
      <c r="W30" s="12"/>
      <c r="X30" s="12"/>
    </row>
    <row r="31" spans="2:24" outlineLevel="1" x14ac:dyDescent="0.2">
      <c r="B31" s="14"/>
      <c r="C31" s="15"/>
      <c r="D31" s="15"/>
      <c r="E31" s="15"/>
      <c r="F31" s="14"/>
      <c r="G31" s="300"/>
      <c r="H31" s="10"/>
      <c r="I31" s="11"/>
      <c r="J31" s="11"/>
      <c r="K31" s="10"/>
      <c r="L31" s="16"/>
      <c r="M31" s="10"/>
      <c r="N31" s="10"/>
      <c r="O31" s="10"/>
      <c r="P31" s="10"/>
      <c r="Q31" s="303"/>
      <c r="R31" s="12"/>
      <c r="S31" s="12"/>
      <c r="T31" s="12"/>
      <c r="U31" s="12"/>
      <c r="V31" s="12"/>
      <c r="W31" s="12"/>
      <c r="X31" s="12"/>
    </row>
    <row r="32" spans="2:24" outlineLevel="1" x14ac:dyDescent="0.2">
      <c r="B32" s="14"/>
      <c r="C32" s="15"/>
      <c r="D32" s="15"/>
      <c r="E32" s="15"/>
      <c r="F32" s="14"/>
      <c r="G32" s="300"/>
      <c r="H32" s="10"/>
      <c r="I32" s="11"/>
      <c r="J32" s="11"/>
      <c r="K32" s="10"/>
      <c r="L32" s="16"/>
      <c r="M32" s="10"/>
      <c r="N32" s="10"/>
      <c r="O32" s="10"/>
      <c r="P32" s="10"/>
      <c r="Q32" s="303"/>
      <c r="R32" s="12"/>
      <c r="S32" s="12"/>
      <c r="T32" s="12"/>
      <c r="U32" s="12"/>
      <c r="V32" s="12"/>
      <c r="W32" s="12"/>
      <c r="X32" s="12"/>
    </row>
    <row r="33" spans="2:24" outlineLevel="1" x14ac:dyDescent="0.2">
      <c r="B33" s="14"/>
      <c r="C33" s="15"/>
      <c r="D33" s="15"/>
      <c r="E33" s="15"/>
      <c r="F33" s="14"/>
      <c r="G33" s="300"/>
      <c r="H33" s="10"/>
      <c r="I33" s="11"/>
      <c r="J33" s="11"/>
      <c r="K33" s="10"/>
      <c r="L33" s="16"/>
      <c r="M33" s="10"/>
      <c r="N33" s="10"/>
      <c r="O33" s="10"/>
      <c r="P33" s="10"/>
      <c r="Q33" s="303"/>
      <c r="R33" s="12"/>
      <c r="S33" s="12"/>
      <c r="T33" s="12"/>
      <c r="U33" s="12"/>
      <c r="V33" s="12"/>
      <c r="W33" s="12"/>
      <c r="X33" s="12"/>
    </row>
    <row r="34" spans="2:24" outlineLevel="1" x14ac:dyDescent="0.2">
      <c r="B34" s="14"/>
      <c r="C34" s="15"/>
      <c r="D34" s="15"/>
      <c r="E34" s="15"/>
      <c r="F34" s="14"/>
      <c r="G34" s="300"/>
      <c r="H34" s="10"/>
      <c r="I34" s="11"/>
      <c r="J34" s="11"/>
      <c r="K34" s="10"/>
      <c r="L34" s="16"/>
      <c r="M34" s="10"/>
      <c r="N34" s="10"/>
      <c r="O34" s="10"/>
      <c r="P34" s="10"/>
      <c r="Q34" s="303"/>
      <c r="R34" s="12"/>
      <c r="S34" s="12"/>
      <c r="T34" s="12"/>
      <c r="U34" s="12"/>
      <c r="V34" s="12"/>
      <c r="W34" s="12"/>
      <c r="X34" s="12"/>
    </row>
    <row r="35" spans="2:24" outlineLevel="1" x14ac:dyDescent="0.2">
      <c r="B35" s="14"/>
      <c r="C35" s="15"/>
      <c r="D35" s="15"/>
      <c r="E35" s="15"/>
      <c r="F35" s="14"/>
      <c r="G35" s="300"/>
      <c r="H35" s="10"/>
      <c r="I35" s="11"/>
      <c r="J35" s="11"/>
      <c r="K35" s="10"/>
      <c r="L35" s="16"/>
      <c r="M35" s="10"/>
      <c r="N35" s="10"/>
      <c r="O35" s="10"/>
      <c r="P35" s="10"/>
      <c r="Q35" s="303"/>
      <c r="R35" s="12"/>
      <c r="S35" s="12"/>
      <c r="T35" s="12"/>
      <c r="U35" s="12"/>
      <c r="V35" s="12"/>
      <c r="W35" s="12"/>
      <c r="X35" s="12"/>
    </row>
    <row r="36" spans="2:24" outlineLevel="1" x14ac:dyDescent="0.2">
      <c r="B36" s="14"/>
      <c r="C36" s="15"/>
      <c r="D36" s="15"/>
      <c r="E36" s="15"/>
      <c r="F36" s="14"/>
      <c r="G36" s="300"/>
      <c r="H36" s="10"/>
      <c r="I36" s="11"/>
      <c r="J36" s="11"/>
      <c r="K36" s="10"/>
      <c r="L36" s="16"/>
      <c r="M36" s="10"/>
      <c r="N36" s="10"/>
      <c r="O36" s="10"/>
      <c r="P36" s="10"/>
      <c r="Q36" s="303"/>
      <c r="R36" s="12"/>
      <c r="S36" s="12"/>
      <c r="T36" s="12"/>
      <c r="U36" s="12"/>
      <c r="V36" s="12"/>
      <c r="W36" s="12"/>
      <c r="X36" s="12"/>
    </row>
    <row r="37" spans="2:24" outlineLevel="1" x14ac:dyDescent="0.2">
      <c r="B37" s="14"/>
      <c r="C37" s="15"/>
      <c r="D37" s="15"/>
      <c r="E37" s="15"/>
      <c r="F37" s="14"/>
      <c r="G37" s="300"/>
      <c r="H37" s="10"/>
      <c r="I37" s="11"/>
      <c r="J37" s="11"/>
      <c r="K37" s="10"/>
      <c r="L37" s="16"/>
      <c r="M37" s="10"/>
      <c r="N37" s="10"/>
      <c r="O37" s="10"/>
      <c r="P37" s="10"/>
      <c r="Q37" s="303"/>
      <c r="R37" s="12"/>
      <c r="S37" s="12"/>
      <c r="T37" s="12"/>
      <c r="U37" s="12"/>
      <c r="V37" s="12"/>
      <c r="W37" s="12"/>
      <c r="X37" s="12"/>
    </row>
    <row r="38" spans="2:24" outlineLevel="1" x14ac:dyDescent="0.2">
      <c r="B38" s="14"/>
      <c r="C38" s="15"/>
      <c r="D38" s="15"/>
      <c r="E38" s="15"/>
      <c r="F38" s="14"/>
      <c r="G38" s="300"/>
      <c r="H38" s="10"/>
      <c r="I38" s="11"/>
      <c r="J38" s="11"/>
      <c r="K38" s="10"/>
      <c r="L38" s="16"/>
      <c r="M38" s="10"/>
      <c r="N38" s="10"/>
      <c r="O38" s="10"/>
      <c r="P38" s="10"/>
      <c r="Q38" s="303"/>
      <c r="R38" s="12"/>
      <c r="S38" s="12"/>
      <c r="T38" s="12"/>
      <c r="U38" s="12"/>
      <c r="V38" s="12"/>
      <c r="W38" s="12"/>
      <c r="X38" s="12"/>
    </row>
    <row r="39" spans="2:24" outlineLevel="1" x14ac:dyDescent="0.2">
      <c r="B39" s="14"/>
      <c r="C39" s="15"/>
      <c r="D39" s="15"/>
      <c r="E39" s="15"/>
      <c r="F39" s="14"/>
      <c r="G39" s="300"/>
      <c r="H39" s="10"/>
      <c r="I39" s="11"/>
      <c r="J39" s="11"/>
      <c r="K39" s="10"/>
      <c r="L39" s="16"/>
      <c r="M39" s="10"/>
      <c r="N39" s="10"/>
      <c r="O39" s="10"/>
      <c r="P39" s="10"/>
      <c r="Q39" s="303"/>
      <c r="R39" s="12"/>
      <c r="S39" s="12"/>
      <c r="T39" s="12"/>
      <c r="U39" s="12"/>
      <c r="V39" s="12"/>
      <c r="W39" s="12"/>
      <c r="X39" s="12"/>
    </row>
    <row r="40" spans="2:24" outlineLevel="1" x14ac:dyDescent="0.2">
      <c r="B40" s="14"/>
      <c r="C40" s="15"/>
      <c r="D40" s="15"/>
      <c r="E40" s="15"/>
      <c r="F40" s="14"/>
      <c r="G40" s="300"/>
      <c r="H40" s="10"/>
      <c r="I40" s="11"/>
      <c r="J40" s="11"/>
      <c r="K40" s="10"/>
      <c r="L40" s="16"/>
      <c r="M40" s="10"/>
      <c r="N40" s="10"/>
      <c r="O40" s="10"/>
      <c r="P40" s="10"/>
      <c r="Q40" s="303"/>
      <c r="R40" s="12"/>
      <c r="S40" s="12"/>
      <c r="T40" s="12"/>
      <c r="U40" s="12"/>
      <c r="V40" s="12"/>
      <c r="W40" s="12"/>
      <c r="X40" s="12"/>
    </row>
    <row r="41" spans="2:24" outlineLevel="1" x14ac:dyDescent="0.2">
      <c r="B41" s="14"/>
      <c r="C41" s="15"/>
      <c r="D41" s="15"/>
      <c r="E41" s="15"/>
      <c r="F41" s="14"/>
      <c r="G41" s="300"/>
      <c r="H41" s="10"/>
      <c r="I41" s="11"/>
      <c r="J41" s="11"/>
      <c r="K41" s="10"/>
      <c r="L41" s="16"/>
      <c r="M41" s="10"/>
      <c r="N41" s="10"/>
      <c r="O41" s="10"/>
      <c r="P41" s="10"/>
      <c r="Q41" s="303"/>
      <c r="R41" s="12"/>
      <c r="S41" s="12"/>
      <c r="T41" s="12"/>
      <c r="U41" s="12"/>
      <c r="V41" s="12"/>
      <c r="W41" s="12"/>
      <c r="X41" s="12"/>
    </row>
    <row r="42" spans="2:24" outlineLevel="1" x14ac:dyDescent="0.2">
      <c r="B42" s="14"/>
      <c r="C42" s="15"/>
      <c r="D42" s="15"/>
      <c r="E42" s="15"/>
      <c r="F42" s="14"/>
      <c r="G42" s="300"/>
      <c r="H42" s="10"/>
      <c r="I42" s="11"/>
      <c r="J42" s="11"/>
      <c r="K42" s="10"/>
      <c r="L42" s="16"/>
      <c r="M42" s="10"/>
      <c r="N42" s="10"/>
      <c r="O42" s="10"/>
      <c r="P42" s="10"/>
      <c r="Q42" s="303"/>
      <c r="R42" s="12"/>
      <c r="S42" s="12"/>
      <c r="T42" s="12"/>
      <c r="U42" s="12"/>
      <c r="V42" s="12"/>
      <c r="W42" s="12"/>
      <c r="X42" s="12"/>
    </row>
    <row r="43" spans="2:24" outlineLevel="1" x14ac:dyDescent="0.2">
      <c r="B43" s="14"/>
      <c r="C43" s="15"/>
      <c r="D43" s="15"/>
      <c r="E43" s="15"/>
      <c r="F43" s="14"/>
      <c r="G43" s="300"/>
      <c r="H43" s="10"/>
      <c r="I43" s="11"/>
      <c r="J43" s="11"/>
      <c r="K43" s="10"/>
      <c r="L43" s="16"/>
      <c r="M43" s="10"/>
      <c r="N43" s="10"/>
      <c r="O43" s="10"/>
      <c r="P43" s="10"/>
      <c r="Q43" s="303"/>
      <c r="R43" s="12"/>
      <c r="S43" s="12"/>
      <c r="T43" s="12"/>
      <c r="U43" s="12"/>
      <c r="V43" s="12"/>
      <c r="W43" s="12"/>
      <c r="X43" s="12"/>
    </row>
    <row r="44" spans="2:24" outlineLevel="1" x14ac:dyDescent="0.2">
      <c r="B44" s="14"/>
      <c r="C44" s="15"/>
      <c r="D44" s="15"/>
      <c r="E44" s="15"/>
      <c r="F44" s="14"/>
      <c r="G44" s="300"/>
      <c r="H44" s="10"/>
      <c r="I44" s="11"/>
      <c r="J44" s="11"/>
      <c r="K44" s="10"/>
      <c r="L44" s="16"/>
      <c r="M44" s="10"/>
      <c r="N44" s="10"/>
      <c r="O44" s="10"/>
      <c r="P44" s="10"/>
      <c r="Q44" s="303"/>
      <c r="R44" s="12"/>
      <c r="S44" s="12"/>
      <c r="T44" s="12"/>
      <c r="U44" s="12"/>
      <c r="V44" s="12"/>
      <c r="W44" s="12"/>
      <c r="X44" s="12"/>
    </row>
    <row r="45" spans="2:24" outlineLevel="1" x14ac:dyDescent="0.2">
      <c r="B45" s="14"/>
      <c r="C45" s="15"/>
      <c r="D45" s="15"/>
      <c r="E45" s="15"/>
      <c r="F45" s="14"/>
      <c r="G45" s="300"/>
      <c r="H45" s="10"/>
      <c r="I45" s="11"/>
      <c r="J45" s="11"/>
      <c r="K45" s="10"/>
      <c r="L45" s="16"/>
      <c r="M45" s="10"/>
      <c r="N45" s="10"/>
      <c r="O45" s="10"/>
      <c r="P45" s="10"/>
      <c r="Q45" s="303"/>
      <c r="R45" s="12"/>
      <c r="S45" s="12"/>
      <c r="T45" s="12"/>
      <c r="U45" s="12"/>
      <c r="V45" s="12"/>
      <c r="W45" s="12"/>
      <c r="X45" s="12"/>
    </row>
    <row r="46" spans="2:24" outlineLevel="1" x14ac:dyDescent="0.2">
      <c r="B46" s="14"/>
      <c r="C46" s="15"/>
      <c r="D46" s="15"/>
      <c r="E46" s="15"/>
      <c r="F46" s="14"/>
      <c r="G46" s="300"/>
      <c r="H46" s="10"/>
      <c r="I46" s="11"/>
      <c r="J46" s="11"/>
      <c r="K46" s="10"/>
      <c r="L46" s="16"/>
      <c r="M46" s="10"/>
      <c r="N46" s="10"/>
      <c r="O46" s="10"/>
      <c r="P46" s="10"/>
      <c r="Q46" s="303"/>
      <c r="R46" s="12"/>
      <c r="S46" s="12"/>
      <c r="T46" s="12"/>
      <c r="U46" s="12"/>
      <c r="V46" s="12"/>
      <c r="W46" s="12"/>
      <c r="X46" s="12"/>
    </row>
    <row r="47" spans="2:24" outlineLevel="1" x14ac:dyDescent="0.2">
      <c r="B47" s="14"/>
      <c r="C47" s="15"/>
      <c r="D47" s="15"/>
      <c r="E47" s="15"/>
      <c r="F47" s="14"/>
      <c r="G47" s="300"/>
      <c r="H47" s="10"/>
      <c r="I47" s="11"/>
      <c r="J47" s="11"/>
      <c r="K47" s="10"/>
      <c r="L47" s="16"/>
      <c r="M47" s="10"/>
      <c r="N47" s="10"/>
      <c r="O47" s="10"/>
      <c r="P47" s="10"/>
      <c r="Q47" s="303"/>
      <c r="R47" s="12"/>
      <c r="S47" s="12"/>
      <c r="T47" s="12"/>
      <c r="U47" s="12"/>
      <c r="V47" s="12"/>
      <c r="W47" s="12"/>
      <c r="X47" s="12"/>
    </row>
    <row r="48" spans="2:24" outlineLevel="1" x14ac:dyDescent="0.2">
      <c r="B48" s="14"/>
      <c r="C48" s="15"/>
      <c r="D48" s="15"/>
      <c r="E48" s="15"/>
      <c r="F48" s="14"/>
      <c r="G48" s="300"/>
      <c r="H48" s="10"/>
      <c r="I48" s="11"/>
      <c r="J48" s="11"/>
      <c r="K48" s="10"/>
      <c r="L48" s="16"/>
      <c r="M48" s="10"/>
      <c r="N48" s="10"/>
      <c r="O48" s="10"/>
      <c r="P48" s="10"/>
      <c r="Q48" s="303"/>
      <c r="R48" s="12"/>
      <c r="S48" s="12"/>
      <c r="T48" s="12"/>
      <c r="U48" s="12"/>
      <c r="V48" s="12"/>
      <c r="W48" s="12"/>
      <c r="X48" s="12"/>
    </row>
    <row r="49" spans="2:24" outlineLevel="1" x14ac:dyDescent="0.2">
      <c r="B49" s="14"/>
      <c r="C49" s="15"/>
      <c r="D49" s="15"/>
      <c r="E49" s="15"/>
      <c r="F49" s="14"/>
      <c r="G49" s="300"/>
      <c r="H49" s="10"/>
      <c r="I49" s="11"/>
      <c r="J49" s="11"/>
      <c r="K49" s="10"/>
      <c r="L49" s="16"/>
      <c r="M49" s="10"/>
      <c r="N49" s="10"/>
      <c r="O49" s="10"/>
      <c r="P49" s="10"/>
      <c r="Q49" s="303"/>
      <c r="R49" s="12"/>
      <c r="S49" s="12"/>
      <c r="T49" s="12"/>
      <c r="U49" s="12"/>
      <c r="V49" s="12"/>
      <c r="W49" s="12"/>
      <c r="X49" s="12"/>
    </row>
    <row r="50" spans="2:24" outlineLevel="1" x14ac:dyDescent="0.2">
      <c r="B50" s="14"/>
      <c r="C50" s="15"/>
      <c r="D50" s="15"/>
      <c r="E50" s="15"/>
      <c r="F50" s="14"/>
      <c r="G50" s="300"/>
      <c r="H50" s="10"/>
      <c r="I50" s="11"/>
      <c r="J50" s="11"/>
      <c r="K50" s="10"/>
      <c r="L50" s="16"/>
      <c r="M50" s="10"/>
      <c r="N50" s="10"/>
      <c r="O50" s="10"/>
      <c r="P50" s="10"/>
      <c r="Q50" s="303"/>
      <c r="R50" s="12"/>
      <c r="S50" s="12"/>
      <c r="T50" s="12"/>
      <c r="U50" s="12"/>
      <c r="V50" s="12"/>
      <c r="W50" s="12"/>
      <c r="X50" s="12"/>
    </row>
    <row r="51" spans="2:24" outlineLevel="1" x14ac:dyDescent="0.2">
      <c r="B51" s="14"/>
      <c r="C51" s="15"/>
      <c r="D51" s="15"/>
      <c r="E51" s="15"/>
      <c r="F51" s="14"/>
      <c r="G51" s="300"/>
      <c r="H51" s="10"/>
      <c r="I51" s="11"/>
      <c r="J51" s="11"/>
      <c r="K51" s="10"/>
      <c r="L51" s="16"/>
      <c r="M51" s="10"/>
      <c r="N51" s="10"/>
      <c r="O51" s="10"/>
      <c r="P51" s="10"/>
      <c r="Q51" s="303"/>
      <c r="R51" s="12"/>
      <c r="S51" s="12"/>
      <c r="T51" s="12"/>
      <c r="U51" s="12"/>
      <c r="V51" s="12"/>
      <c r="W51" s="12"/>
      <c r="X51" s="12"/>
    </row>
    <row r="52" spans="2:24" outlineLevel="1" x14ac:dyDescent="0.2">
      <c r="B52" s="14"/>
      <c r="C52" s="15"/>
      <c r="D52" s="15"/>
      <c r="E52" s="15"/>
      <c r="F52" s="14"/>
      <c r="G52" s="300"/>
      <c r="H52" s="10"/>
      <c r="I52" s="11"/>
      <c r="J52" s="11"/>
      <c r="K52" s="10"/>
      <c r="L52" s="16"/>
      <c r="M52" s="10"/>
      <c r="N52" s="10"/>
      <c r="O52" s="10"/>
      <c r="P52" s="10"/>
      <c r="Q52" s="303"/>
      <c r="R52" s="12"/>
      <c r="S52" s="12"/>
      <c r="T52" s="12"/>
      <c r="U52" s="12"/>
      <c r="V52" s="12"/>
      <c r="W52" s="12"/>
      <c r="X52" s="12"/>
    </row>
    <row r="53" spans="2:24" outlineLevel="1" x14ac:dyDescent="0.2">
      <c r="B53" s="14"/>
      <c r="C53" s="15"/>
      <c r="D53" s="15"/>
      <c r="E53" s="15"/>
      <c r="F53" s="14"/>
      <c r="G53" s="300"/>
      <c r="H53" s="10"/>
      <c r="I53" s="11"/>
      <c r="J53" s="11"/>
      <c r="K53" s="10"/>
      <c r="L53" s="16"/>
      <c r="M53" s="10"/>
      <c r="N53" s="10"/>
      <c r="O53" s="10"/>
      <c r="P53" s="10"/>
      <c r="Q53" s="303"/>
      <c r="R53" s="12"/>
      <c r="S53" s="12"/>
      <c r="T53" s="12"/>
      <c r="U53" s="12"/>
      <c r="V53" s="12"/>
      <c r="W53" s="12"/>
      <c r="X53" s="12"/>
    </row>
    <row r="54" spans="2:24" outlineLevel="1" x14ac:dyDescent="0.2">
      <c r="B54" s="14"/>
      <c r="C54" s="15"/>
      <c r="D54" s="15"/>
      <c r="E54" s="15"/>
      <c r="F54" s="14"/>
      <c r="G54" s="300"/>
      <c r="H54" s="10"/>
      <c r="I54" s="11"/>
      <c r="J54" s="11"/>
      <c r="K54" s="10"/>
      <c r="L54" s="16"/>
      <c r="M54" s="10"/>
      <c r="N54" s="10"/>
      <c r="O54" s="10"/>
      <c r="P54" s="10"/>
      <c r="Q54" s="303"/>
      <c r="R54" s="12"/>
      <c r="S54" s="12"/>
      <c r="T54" s="12"/>
      <c r="U54" s="12"/>
      <c r="V54" s="12"/>
      <c r="W54" s="12"/>
      <c r="X54" s="12"/>
    </row>
    <row r="55" spans="2:24" outlineLevel="1" x14ac:dyDescent="0.2">
      <c r="B55" s="14"/>
      <c r="C55" s="15"/>
      <c r="D55" s="15"/>
      <c r="E55" s="15"/>
      <c r="F55" s="14"/>
      <c r="G55" s="300"/>
      <c r="H55" s="10"/>
      <c r="I55" s="11"/>
      <c r="J55" s="11"/>
      <c r="K55" s="10"/>
      <c r="L55" s="16"/>
      <c r="M55" s="10"/>
      <c r="N55" s="10"/>
      <c r="O55" s="10"/>
      <c r="P55" s="10"/>
      <c r="Q55" s="303"/>
      <c r="R55" s="12"/>
      <c r="S55" s="12"/>
      <c r="T55" s="12"/>
      <c r="U55" s="12"/>
      <c r="V55" s="12"/>
      <c r="W55" s="12"/>
      <c r="X55" s="12"/>
    </row>
    <row r="56" spans="2:24" outlineLevel="1" x14ac:dyDescent="0.2">
      <c r="B56" s="14"/>
      <c r="C56" s="15"/>
      <c r="D56" s="15"/>
      <c r="E56" s="15"/>
      <c r="F56" s="14"/>
      <c r="G56" s="300"/>
      <c r="H56" s="10"/>
      <c r="I56" s="11"/>
      <c r="J56" s="11"/>
      <c r="K56" s="10"/>
      <c r="L56" s="16"/>
      <c r="M56" s="10"/>
      <c r="N56" s="10"/>
      <c r="O56" s="10"/>
      <c r="P56" s="10"/>
      <c r="Q56" s="303"/>
      <c r="R56" s="12"/>
      <c r="S56" s="12"/>
      <c r="T56" s="12"/>
      <c r="U56" s="12"/>
      <c r="V56" s="12"/>
      <c r="W56" s="12"/>
      <c r="X56" s="12"/>
    </row>
    <row r="57" spans="2:24" outlineLevel="1" x14ac:dyDescent="0.2">
      <c r="B57" s="14"/>
      <c r="C57" s="15"/>
      <c r="D57" s="15"/>
      <c r="E57" s="15"/>
      <c r="F57" s="14"/>
      <c r="G57" s="300"/>
      <c r="H57" s="10"/>
      <c r="I57" s="11"/>
      <c r="J57" s="11"/>
      <c r="K57" s="10"/>
      <c r="L57" s="16"/>
      <c r="M57" s="10"/>
      <c r="N57" s="10"/>
      <c r="O57" s="10"/>
      <c r="P57" s="10"/>
      <c r="Q57" s="303"/>
      <c r="R57" s="12"/>
      <c r="S57" s="12"/>
      <c r="T57" s="12"/>
      <c r="U57" s="12"/>
      <c r="V57" s="12"/>
      <c r="W57" s="12"/>
      <c r="X57" s="12"/>
    </row>
    <row r="58" spans="2:24" outlineLevel="1" x14ac:dyDescent="0.2">
      <c r="B58" s="14"/>
      <c r="C58" s="15"/>
      <c r="D58" s="15"/>
      <c r="E58" s="15"/>
      <c r="F58" s="14"/>
      <c r="G58" s="300"/>
      <c r="H58" s="10"/>
      <c r="I58" s="11"/>
      <c r="J58" s="11"/>
      <c r="K58" s="10"/>
      <c r="L58" s="16"/>
      <c r="M58" s="10"/>
      <c r="N58" s="10"/>
      <c r="O58" s="10"/>
      <c r="P58" s="10"/>
      <c r="Q58" s="303"/>
      <c r="R58" s="12"/>
      <c r="S58" s="12"/>
      <c r="T58" s="12"/>
      <c r="U58" s="12"/>
      <c r="V58" s="12"/>
      <c r="W58" s="12"/>
      <c r="X58" s="12"/>
    </row>
    <row r="59" spans="2:24" outlineLevel="1" x14ac:dyDescent="0.2">
      <c r="B59" s="14"/>
      <c r="C59" s="15"/>
      <c r="D59" s="15"/>
      <c r="E59" s="15"/>
      <c r="F59" s="14"/>
      <c r="G59" s="300"/>
      <c r="H59" s="10"/>
      <c r="I59" s="11"/>
      <c r="J59" s="11"/>
      <c r="K59" s="10"/>
      <c r="L59" s="16"/>
      <c r="M59" s="10"/>
      <c r="N59" s="10"/>
      <c r="O59" s="10"/>
      <c r="P59" s="10"/>
      <c r="Q59" s="303"/>
      <c r="R59" s="12"/>
      <c r="S59" s="12"/>
      <c r="T59" s="12"/>
      <c r="U59" s="12"/>
      <c r="V59" s="12"/>
      <c r="W59" s="12"/>
      <c r="X59" s="12"/>
    </row>
    <row r="60" spans="2:24" outlineLevel="1" x14ac:dyDescent="0.2">
      <c r="B60" s="14"/>
      <c r="C60" s="15"/>
      <c r="D60" s="15"/>
      <c r="E60" s="15"/>
      <c r="F60" s="14"/>
      <c r="G60" s="300"/>
      <c r="H60" s="10"/>
      <c r="I60" s="11"/>
      <c r="J60" s="11"/>
      <c r="K60" s="10"/>
      <c r="L60" s="16"/>
      <c r="M60" s="10"/>
      <c r="N60" s="10"/>
      <c r="O60" s="10"/>
      <c r="P60" s="10"/>
      <c r="Q60" s="303"/>
      <c r="R60" s="12"/>
      <c r="S60" s="12"/>
      <c r="T60" s="12"/>
      <c r="U60" s="12"/>
      <c r="V60" s="12"/>
      <c r="W60" s="12"/>
      <c r="X60" s="12"/>
    </row>
    <row r="61" spans="2:24" outlineLevel="1" x14ac:dyDescent="0.2">
      <c r="B61" s="14"/>
      <c r="C61" s="15"/>
      <c r="D61" s="15"/>
      <c r="E61" s="15"/>
      <c r="F61" s="14"/>
      <c r="G61" s="300"/>
      <c r="H61" s="10"/>
      <c r="I61" s="11"/>
      <c r="J61" s="11"/>
      <c r="K61" s="10"/>
      <c r="L61" s="16"/>
      <c r="M61" s="10"/>
      <c r="N61" s="10"/>
      <c r="O61" s="10"/>
      <c r="P61" s="10"/>
      <c r="Q61" s="303"/>
      <c r="R61" s="12"/>
      <c r="S61" s="12"/>
      <c r="T61" s="12"/>
      <c r="U61" s="12"/>
      <c r="V61" s="12"/>
      <c r="W61" s="12"/>
      <c r="X61" s="12"/>
    </row>
    <row r="62" spans="2:24" outlineLevel="1" x14ac:dyDescent="0.2">
      <c r="B62" s="14"/>
      <c r="C62" s="15"/>
      <c r="D62" s="15"/>
      <c r="E62" s="15"/>
      <c r="F62" s="14"/>
      <c r="G62" s="300"/>
      <c r="H62" s="10"/>
      <c r="I62" s="11"/>
      <c r="J62" s="11"/>
      <c r="K62" s="10"/>
      <c r="L62" s="16"/>
      <c r="M62" s="10"/>
      <c r="N62" s="10"/>
      <c r="O62" s="10"/>
      <c r="P62" s="10"/>
      <c r="Q62" s="303"/>
      <c r="R62" s="12"/>
      <c r="S62" s="12"/>
      <c r="T62" s="12"/>
      <c r="U62" s="12"/>
      <c r="V62" s="12"/>
      <c r="W62" s="12"/>
      <c r="X62" s="12"/>
    </row>
    <row r="63" spans="2:24" outlineLevel="1" x14ac:dyDescent="0.2">
      <c r="B63" s="14"/>
      <c r="C63" s="15"/>
      <c r="D63" s="15"/>
      <c r="E63" s="15"/>
      <c r="F63" s="14"/>
      <c r="G63" s="300"/>
      <c r="H63" s="10"/>
      <c r="I63" s="11"/>
      <c r="J63" s="11"/>
      <c r="K63" s="10"/>
      <c r="L63" s="16"/>
      <c r="M63" s="10"/>
      <c r="N63" s="10"/>
      <c r="O63" s="10"/>
      <c r="P63" s="10"/>
      <c r="Q63" s="303"/>
      <c r="R63" s="12"/>
      <c r="S63" s="12"/>
      <c r="T63" s="12"/>
      <c r="U63" s="12"/>
      <c r="V63" s="12"/>
      <c r="W63" s="12"/>
      <c r="X63" s="12"/>
    </row>
    <row r="64" spans="2:24" outlineLevel="1" x14ac:dyDescent="0.2">
      <c r="B64" s="14"/>
      <c r="C64" s="15"/>
      <c r="D64" s="15"/>
      <c r="E64" s="15"/>
      <c r="F64" s="14"/>
      <c r="G64" s="300"/>
      <c r="H64" s="10"/>
      <c r="I64" s="11"/>
      <c r="J64" s="11"/>
      <c r="K64" s="10"/>
      <c r="L64" s="16"/>
      <c r="M64" s="10"/>
      <c r="N64" s="10"/>
      <c r="O64" s="10"/>
      <c r="P64" s="10"/>
      <c r="Q64" s="303"/>
      <c r="R64" s="12"/>
      <c r="S64" s="12"/>
      <c r="T64" s="12"/>
      <c r="U64" s="12"/>
      <c r="V64" s="12"/>
      <c r="W64" s="12"/>
      <c r="X64" s="12"/>
    </row>
    <row r="65" spans="2:24" outlineLevel="1" x14ac:dyDescent="0.2">
      <c r="B65" s="14"/>
      <c r="C65" s="15"/>
      <c r="D65" s="15"/>
      <c r="E65" s="15"/>
      <c r="F65" s="14"/>
      <c r="G65" s="300"/>
      <c r="H65" s="10"/>
      <c r="I65" s="11"/>
      <c r="J65" s="11"/>
      <c r="K65" s="10"/>
      <c r="L65" s="16"/>
      <c r="M65" s="10"/>
      <c r="N65" s="10"/>
      <c r="O65" s="10"/>
      <c r="P65" s="10"/>
      <c r="Q65" s="303"/>
      <c r="R65" s="12"/>
      <c r="S65" s="12"/>
      <c r="T65" s="12"/>
      <c r="U65" s="12"/>
      <c r="V65" s="12"/>
      <c r="W65" s="12"/>
      <c r="X65" s="12"/>
    </row>
    <row r="66" spans="2:24" outlineLevel="1" x14ac:dyDescent="0.2">
      <c r="B66" s="14"/>
      <c r="C66" s="15"/>
      <c r="D66" s="15"/>
      <c r="E66" s="15"/>
      <c r="F66" s="14"/>
      <c r="G66" s="300"/>
      <c r="H66" s="10"/>
      <c r="I66" s="11"/>
      <c r="J66" s="11"/>
      <c r="K66" s="10"/>
      <c r="L66" s="16"/>
      <c r="M66" s="10"/>
      <c r="N66" s="10"/>
      <c r="O66" s="10"/>
      <c r="P66" s="10"/>
      <c r="Q66" s="303"/>
      <c r="R66" s="12"/>
      <c r="S66" s="12"/>
      <c r="T66" s="12"/>
      <c r="U66" s="12"/>
      <c r="V66" s="12"/>
      <c r="W66" s="12"/>
      <c r="X66" s="12"/>
    </row>
    <row r="67" spans="2:24" outlineLevel="1" x14ac:dyDescent="0.2">
      <c r="B67" s="14"/>
      <c r="C67" s="15"/>
      <c r="D67" s="15"/>
      <c r="E67" s="15"/>
      <c r="F67" s="14"/>
      <c r="G67" s="300"/>
      <c r="H67" s="10"/>
      <c r="I67" s="11"/>
      <c r="J67" s="11"/>
      <c r="K67" s="10"/>
      <c r="L67" s="16"/>
      <c r="M67" s="10"/>
      <c r="N67" s="10"/>
      <c r="O67" s="10"/>
      <c r="P67" s="10"/>
      <c r="Q67" s="303"/>
      <c r="R67" s="12"/>
      <c r="S67" s="12"/>
      <c r="T67" s="12"/>
      <c r="U67" s="12"/>
      <c r="V67" s="12"/>
      <c r="W67" s="12"/>
      <c r="X67" s="12"/>
    </row>
    <row r="68" spans="2:24" outlineLevel="1" x14ac:dyDescent="0.2">
      <c r="B68" s="14"/>
      <c r="C68" s="15"/>
      <c r="D68" s="15"/>
      <c r="E68" s="15"/>
      <c r="F68" s="14"/>
      <c r="G68" s="300"/>
      <c r="H68" s="10"/>
      <c r="I68" s="11"/>
      <c r="J68" s="11"/>
      <c r="K68" s="10"/>
      <c r="L68" s="16"/>
      <c r="M68" s="10"/>
      <c r="N68" s="10"/>
      <c r="O68" s="10"/>
      <c r="P68" s="10"/>
      <c r="Q68" s="303"/>
      <c r="R68" s="12"/>
      <c r="S68" s="12"/>
      <c r="T68" s="12"/>
      <c r="U68" s="12"/>
      <c r="V68" s="12"/>
      <c r="W68" s="12"/>
      <c r="X68" s="12"/>
    </row>
    <row r="69" spans="2:24" outlineLevel="1" x14ac:dyDescent="0.2">
      <c r="B69" s="14"/>
      <c r="C69" s="15"/>
      <c r="D69" s="15"/>
      <c r="E69" s="15"/>
      <c r="F69" s="14"/>
      <c r="G69" s="300"/>
      <c r="H69" s="10"/>
      <c r="I69" s="11"/>
      <c r="J69" s="11"/>
      <c r="K69" s="10"/>
      <c r="L69" s="16"/>
      <c r="M69" s="10"/>
      <c r="N69" s="10"/>
      <c r="O69" s="10"/>
      <c r="P69" s="10"/>
      <c r="Q69" s="303"/>
      <c r="R69" s="12"/>
      <c r="S69" s="12"/>
      <c r="T69" s="12"/>
      <c r="U69" s="12"/>
      <c r="V69" s="12"/>
      <c r="W69" s="12"/>
      <c r="X69" s="12"/>
    </row>
    <row r="70" spans="2:24" outlineLevel="1" x14ac:dyDescent="0.2">
      <c r="B70" s="14"/>
      <c r="C70" s="15"/>
      <c r="D70" s="15"/>
      <c r="E70" s="15"/>
      <c r="F70" s="14"/>
      <c r="G70" s="300"/>
      <c r="H70" s="10"/>
      <c r="I70" s="11"/>
      <c r="J70" s="11"/>
      <c r="K70" s="10"/>
      <c r="L70" s="16"/>
      <c r="M70" s="10"/>
      <c r="N70" s="10"/>
      <c r="O70" s="10"/>
      <c r="P70" s="10"/>
      <c r="Q70" s="303"/>
      <c r="R70" s="12"/>
      <c r="S70" s="12"/>
      <c r="T70" s="12"/>
      <c r="U70" s="12"/>
      <c r="V70" s="12"/>
      <c r="W70" s="12"/>
      <c r="X70" s="12"/>
    </row>
    <row r="71" spans="2:24" outlineLevel="1" x14ac:dyDescent="0.2">
      <c r="B71" s="14"/>
      <c r="C71" s="15"/>
      <c r="D71" s="15"/>
      <c r="E71" s="15"/>
      <c r="F71" s="14"/>
      <c r="G71" s="300"/>
      <c r="H71" s="10"/>
      <c r="I71" s="11"/>
      <c r="J71" s="11"/>
      <c r="K71" s="10"/>
      <c r="L71" s="16"/>
      <c r="M71" s="10"/>
      <c r="N71" s="10"/>
      <c r="O71" s="10"/>
      <c r="P71" s="10"/>
      <c r="Q71" s="303"/>
      <c r="R71" s="12"/>
      <c r="S71" s="12"/>
      <c r="T71" s="12"/>
      <c r="U71" s="12"/>
      <c r="V71" s="12"/>
      <c r="W71" s="12"/>
      <c r="X71" s="12"/>
    </row>
    <row r="72" spans="2:24" outlineLevel="1" x14ac:dyDescent="0.2">
      <c r="B72" s="14"/>
      <c r="C72" s="15"/>
      <c r="D72" s="15"/>
      <c r="E72" s="15"/>
      <c r="F72" s="14"/>
      <c r="G72" s="300"/>
      <c r="H72" s="10"/>
      <c r="I72" s="11"/>
      <c r="J72" s="11"/>
      <c r="K72" s="10"/>
      <c r="L72" s="16"/>
      <c r="M72" s="10"/>
      <c r="N72" s="10"/>
      <c r="O72" s="10"/>
      <c r="P72" s="10"/>
      <c r="Q72" s="303"/>
      <c r="R72" s="12"/>
      <c r="S72" s="12"/>
      <c r="T72" s="12"/>
      <c r="U72" s="12"/>
      <c r="V72" s="12"/>
      <c r="W72" s="12"/>
      <c r="X72" s="12"/>
    </row>
    <row r="73" spans="2:24" outlineLevel="1" x14ac:dyDescent="0.2">
      <c r="B73" s="14"/>
      <c r="C73" s="15"/>
      <c r="D73" s="15"/>
      <c r="E73" s="15"/>
      <c r="F73" s="14"/>
      <c r="G73" s="300"/>
      <c r="H73" s="10"/>
      <c r="I73" s="11"/>
      <c r="J73" s="11"/>
      <c r="K73" s="10"/>
      <c r="L73" s="16"/>
      <c r="M73" s="10"/>
      <c r="N73" s="10"/>
      <c r="O73" s="10"/>
      <c r="P73" s="10"/>
      <c r="Q73" s="303"/>
      <c r="R73" s="12"/>
      <c r="S73" s="12"/>
      <c r="T73" s="12"/>
      <c r="U73" s="12"/>
      <c r="V73" s="12"/>
      <c r="W73" s="12"/>
      <c r="X73" s="12"/>
    </row>
    <row r="74" spans="2:24" outlineLevel="1" x14ac:dyDescent="0.2">
      <c r="B74" s="14"/>
      <c r="C74" s="15"/>
      <c r="D74" s="15"/>
      <c r="E74" s="15"/>
      <c r="F74" s="14"/>
      <c r="G74" s="300"/>
      <c r="H74" s="10"/>
      <c r="I74" s="11"/>
      <c r="J74" s="11"/>
      <c r="K74" s="10"/>
      <c r="L74" s="16"/>
      <c r="M74" s="10"/>
      <c r="N74" s="10"/>
      <c r="O74" s="10"/>
      <c r="P74" s="10"/>
      <c r="Q74" s="303"/>
      <c r="R74" s="12"/>
      <c r="S74" s="12"/>
      <c r="T74" s="12"/>
      <c r="U74" s="12"/>
      <c r="V74" s="12"/>
      <c r="W74" s="12"/>
      <c r="X74" s="12"/>
    </row>
    <row r="75" spans="2:24" outlineLevel="1" x14ac:dyDescent="0.2">
      <c r="B75" s="14"/>
      <c r="C75" s="15"/>
      <c r="D75" s="15"/>
      <c r="E75" s="15"/>
      <c r="F75" s="14"/>
      <c r="G75" s="300"/>
      <c r="H75" s="10"/>
      <c r="I75" s="11"/>
      <c r="J75" s="11"/>
      <c r="K75" s="10"/>
      <c r="L75" s="16"/>
      <c r="M75" s="10"/>
      <c r="N75" s="10"/>
      <c r="O75" s="10"/>
      <c r="P75" s="10"/>
      <c r="Q75" s="303"/>
      <c r="R75" s="12"/>
      <c r="S75" s="12"/>
      <c r="T75" s="12"/>
      <c r="U75" s="12"/>
      <c r="V75" s="12"/>
      <c r="W75" s="12"/>
      <c r="X75" s="12"/>
    </row>
    <row r="76" spans="2:24" outlineLevel="1" x14ac:dyDescent="0.2">
      <c r="B76" s="14"/>
      <c r="C76" s="15"/>
      <c r="D76" s="15"/>
      <c r="E76" s="15"/>
      <c r="F76" s="14"/>
      <c r="G76" s="300"/>
      <c r="H76" s="10"/>
      <c r="I76" s="11"/>
      <c r="J76" s="11"/>
      <c r="K76" s="10"/>
      <c r="L76" s="16"/>
      <c r="M76" s="10"/>
      <c r="N76" s="10"/>
      <c r="O76" s="10"/>
      <c r="P76" s="10"/>
      <c r="Q76" s="303"/>
      <c r="R76" s="12"/>
      <c r="S76" s="12"/>
      <c r="T76" s="12"/>
      <c r="U76" s="12"/>
      <c r="V76" s="12"/>
      <c r="W76" s="12"/>
      <c r="X76" s="12"/>
    </row>
    <row r="77" spans="2:24" outlineLevel="1" x14ac:dyDescent="0.2">
      <c r="B77" s="14"/>
      <c r="C77" s="15"/>
      <c r="D77" s="15"/>
      <c r="E77" s="15"/>
      <c r="F77" s="14"/>
      <c r="G77" s="300"/>
      <c r="H77" s="10"/>
      <c r="I77" s="11"/>
      <c r="J77" s="11"/>
      <c r="K77" s="10"/>
      <c r="L77" s="16"/>
      <c r="M77" s="10"/>
      <c r="N77" s="10"/>
      <c r="O77" s="10"/>
      <c r="P77" s="10"/>
      <c r="Q77" s="303"/>
      <c r="R77" s="12"/>
      <c r="S77" s="12"/>
      <c r="T77" s="12"/>
      <c r="U77" s="12"/>
      <c r="V77" s="12"/>
      <c r="W77" s="12"/>
      <c r="X77" s="12"/>
    </row>
    <row r="78" spans="2:24" outlineLevel="1" x14ac:dyDescent="0.2">
      <c r="B78" s="14"/>
      <c r="C78" s="15"/>
      <c r="D78" s="15"/>
      <c r="E78" s="15"/>
      <c r="F78" s="14"/>
      <c r="G78" s="300"/>
      <c r="H78" s="10"/>
      <c r="I78" s="11"/>
      <c r="J78" s="11"/>
      <c r="K78" s="10"/>
      <c r="L78" s="16"/>
      <c r="M78" s="10"/>
      <c r="N78" s="10"/>
      <c r="O78" s="10"/>
      <c r="P78" s="10"/>
      <c r="Q78" s="303"/>
      <c r="R78" s="12"/>
      <c r="S78" s="12"/>
      <c r="T78" s="12"/>
      <c r="U78" s="12"/>
      <c r="V78" s="12"/>
      <c r="W78" s="12"/>
      <c r="X78" s="12"/>
    </row>
    <row r="79" spans="2:24" outlineLevel="1" x14ac:dyDescent="0.2">
      <c r="B79" s="14"/>
      <c r="C79" s="15"/>
      <c r="D79" s="15"/>
      <c r="E79" s="15"/>
      <c r="F79" s="14"/>
      <c r="G79" s="300"/>
      <c r="H79" s="10"/>
      <c r="I79" s="11"/>
      <c r="J79" s="11"/>
      <c r="K79" s="10"/>
      <c r="L79" s="16"/>
      <c r="M79" s="10"/>
      <c r="N79" s="10"/>
      <c r="O79" s="10"/>
      <c r="P79" s="10"/>
      <c r="Q79" s="303"/>
      <c r="R79" s="12"/>
      <c r="S79" s="12"/>
      <c r="T79" s="12"/>
      <c r="U79" s="12"/>
      <c r="V79" s="12"/>
      <c r="W79" s="12"/>
      <c r="X79" s="12"/>
    </row>
    <row r="80" spans="2:24" outlineLevel="1" x14ac:dyDescent="0.2">
      <c r="B80" s="14"/>
      <c r="C80" s="15"/>
      <c r="D80" s="15"/>
      <c r="E80" s="15"/>
      <c r="F80" s="14"/>
      <c r="G80" s="300"/>
      <c r="H80" s="10"/>
      <c r="I80" s="11"/>
      <c r="J80" s="11"/>
      <c r="K80" s="10"/>
      <c r="L80" s="16"/>
      <c r="M80" s="10"/>
      <c r="N80" s="10"/>
      <c r="O80" s="10"/>
      <c r="P80" s="10"/>
      <c r="Q80" s="303"/>
      <c r="R80" s="12"/>
      <c r="S80" s="12"/>
      <c r="T80" s="12"/>
      <c r="U80" s="12"/>
      <c r="V80" s="12"/>
      <c r="W80" s="12"/>
      <c r="X80" s="12"/>
    </row>
    <row r="81" spans="2:24" outlineLevel="1" x14ac:dyDescent="0.2">
      <c r="B81" s="14"/>
      <c r="C81" s="15"/>
      <c r="D81" s="15"/>
      <c r="E81" s="15"/>
      <c r="F81" s="14"/>
      <c r="G81" s="300"/>
      <c r="H81" s="10"/>
      <c r="I81" s="11"/>
      <c r="J81" s="11"/>
      <c r="K81" s="10"/>
      <c r="L81" s="16"/>
      <c r="M81" s="10"/>
      <c r="N81" s="10"/>
      <c r="O81" s="10"/>
      <c r="P81" s="10"/>
      <c r="Q81" s="303"/>
      <c r="R81" s="12"/>
      <c r="S81" s="12"/>
      <c r="T81" s="12"/>
      <c r="U81" s="12"/>
      <c r="V81" s="12"/>
      <c r="W81" s="12"/>
      <c r="X81" s="12"/>
    </row>
    <row r="82" spans="2:24" outlineLevel="1" x14ac:dyDescent="0.2">
      <c r="B82" s="14"/>
      <c r="C82" s="15"/>
      <c r="D82" s="15"/>
      <c r="E82" s="15"/>
      <c r="F82" s="14"/>
      <c r="G82" s="300"/>
      <c r="H82" s="10"/>
      <c r="I82" s="11"/>
      <c r="J82" s="11"/>
      <c r="K82" s="10"/>
      <c r="L82" s="16"/>
      <c r="M82" s="10"/>
      <c r="N82" s="10"/>
      <c r="O82" s="10"/>
      <c r="P82" s="10"/>
      <c r="Q82" s="303"/>
      <c r="R82" s="12"/>
      <c r="S82" s="12"/>
      <c r="T82" s="12"/>
      <c r="U82" s="12"/>
      <c r="V82" s="12"/>
      <c r="W82" s="12"/>
      <c r="X82" s="12"/>
    </row>
    <row r="83" spans="2:24" outlineLevel="1" x14ac:dyDescent="0.2">
      <c r="B83" s="14"/>
      <c r="C83" s="15"/>
      <c r="D83" s="15"/>
      <c r="E83" s="15"/>
      <c r="F83" s="14"/>
      <c r="G83" s="300"/>
      <c r="H83" s="10"/>
      <c r="I83" s="11"/>
      <c r="J83" s="11"/>
      <c r="K83" s="10"/>
      <c r="L83" s="16"/>
      <c r="M83" s="10"/>
      <c r="N83" s="10"/>
      <c r="O83" s="10"/>
      <c r="P83" s="10"/>
      <c r="Q83" s="303"/>
      <c r="R83" s="12"/>
      <c r="S83" s="12"/>
      <c r="T83" s="12"/>
      <c r="U83" s="12"/>
      <c r="V83" s="12"/>
      <c r="W83" s="12"/>
      <c r="X83" s="12"/>
    </row>
    <row r="84" spans="2:24" outlineLevel="1" x14ac:dyDescent="0.2">
      <c r="B84" s="14"/>
      <c r="C84" s="15"/>
      <c r="D84" s="15"/>
      <c r="E84" s="15"/>
      <c r="F84" s="14"/>
      <c r="G84" s="300"/>
      <c r="H84" s="10"/>
      <c r="I84" s="11"/>
      <c r="J84" s="11"/>
      <c r="K84" s="10"/>
      <c r="L84" s="16"/>
      <c r="M84" s="10"/>
      <c r="N84" s="10"/>
      <c r="O84" s="10"/>
      <c r="P84" s="10"/>
      <c r="Q84" s="303"/>
      <c r="R84" s="12"/>
      <c r="S84" s="12"/>
      <c r="T84" s="12"/>
      <c r="U84" s="12"/>
      <c r="V84" s="12"/>
      <c r="W84" s="12"/>
      <c r="X84" s="12"/>
    </row>
    <row r="85" spans="2:24" outlineLevel="1" x14ac:dyDescent="0.2">
      <c r="B85" s="14"/>
      <c r="C85" s="15"/>
      <c r="D85" s="15"/>
      <c r="E85" s="15"/>
      <c r="F85" s="14"/>
      <c r="G85" s="300"/>
      <c r="H85" s="10"/>
      <c r="I85" s="11"/>
      <c r="J85" s="11"/>
      <c r="K85" s="10"/>
      <c r="L85" s="16"/>
      <c r="M85" s="10"/>
      <c r="N85" s="10"/>
      <c r="O85" s="10"/>
      <c r="P85" s="10"/>
      <c r="Q85" s="303"/>
      <c r="R85" s="12"/>
      <c r="S85" s="12"/>
      <c r="T85" s="12"/>
      <c r="U85" s="12"/>
      <c r="V85" s="12"/>
      <c r="W85" s="12"/>
      <c r="X85" s="12"/>
    </row>
    <row r="86" spans="2:24" outlineLevel="1" x14ac:dyDescent="0.2">
      <c r="B86" s="14"/>
      <c r="C86" s="15"/>
      <c r="D86" s="15"/>
      <c r="E86" s="15"/>
      <c r="F86" s="14"/>
      <c r="G86" s="300"/>
      <c r="H86" s="10"/>
      <c r="I86" s="11"/>
      <c r="J86" s="11"/>
      <c r="K86" s="10"/>
      <c r="L86" s="16"/>
      <c r="M86" s="10"/>
      <c r="N86" s="10"/>
      <c r="O86" s="10"/>
      <c r="P86" s="10"/>
      <c r="Q86" s="303"/>
      <c r="R86" s="12"/>
      <c r="S86" s="12"/>
      <c r="T86" s="12"/>
      <c r="U86" s="12"/>
      <c r="V86" s="12"/>
      <c r="W86" s="12"/>
      <c r="X86" s="12"/>
    </row>
    <row r="87" spans="2:24" outlineLevel="1" x14ac:dyDescent="0.2">
      <c r="B87" s="14"/>
      <c r="C87" s="15"/>
      <c r="D87" s="15"/>
      <c r="E87" s="15"/>
      <c r="F87" s="14"/>
      <c r="G87" s="300"/>
      <c r="H87" s="10"/>
      <c r="I87" s="11"/>
      <c r="J87" s="11"/>
      <c r="K87" s="10"/>
      <c r="L87" s="16"/>
      <c r="M87" s="10"/>
      <c r="N87" s="10"/>
      <c r="O87" s="10"/>
      <c r="P87" s="10"/>
      <c r="Q87" s="303"/>
      <c r="R87" s="12"/>
      <c r="S87" s="12"/>
      <c r="T87" s="12"/>
      <c r="U87" s="12"/>
      <c r="V87" s="12"/>
      <c r="W87" s="12"/>
      <c r="X87" s="12"/>
    </row>
    <row r="88" spans="2:24" outlineLevel="1" x14ac:dyDescent="0.2">
      <c r="B88" s="14"/>
      <c r="C88" s="15"/>
      <c r="D88" s="15"/>
      <c r="E88" s="15"/>
      <c r="F88" s="14"/>
      <c r="G88" s="300"/>
      <c r="H88" s="10"/>
      <c r="I88" s="11"/>
      <c r="J88" s="11"/>
      <c r="K88" s="10"/>
      <c r="L88" s="16"/>
      <c r="M88" s="10"/>
      <c r="N88" s="10"/>
      <c r="O88" s="10"/>
      <c r="P88" s="10"/>
      <c r="Q88" s="303"/>
      <c r="R88" s="12"/>
      <c r="S88" s="12"/>
      <c r="T88" s="12"/>
      <c r="U88" s="12"/>
      <c r="V88" s="12"/>
      <c r="W88" s="12"/>
      <c r="X88" s="12"/>
    </row>
    <row r="89" spans="2:24" outlineLevel="1" x14ac:dyDescent="0.2">
      <c r="B89" s="14"/>
      <c r="C89" s="15"/>
      <c r="D89" s="15"/>
      <c r="E89" s="15"/>
      <c r="F89" s="14"/>
      <c r="G89" s="300"/>
      <c r="H89" s="10"/>
      <c r="I89" s="11"/>
      <c r="J89" s="11"/>
      <c r="K89" s="10"/>
      <c r="L89" s="16"/>
      <c r="M89" s="10"/>
      <c r="N89" s="10"/>
      <c r="O89" s="10"/>
      <c r="P89" s="10"/>
      <c r="Q89" s="303"/>
      <c r="R89" s="12"/>
      <c r="S89" s="12"/>
      <c r="T89" s="12"/>
      <c r="U89" s="12"/>
      <c r="V89" s="12"/>
      <c r="W89" s="12"/>
      <c r="X89" s="12"/>
    </row>
    <row r="90" spans="2:24" outlineLevel="1" x14ac:dyDescent="0.2">
      <c r="B90" s="14"/>
      <c r="C90" s="15"/>
      <c r="D90" s="15"/>
      <c r="E90" s="15"/>
      <c r="F90" s="14"/>
      <c r="G90" s="300"/>
      <c r="H90" s="10"/>
      <c r="I90" s="11"/>
      <c r="J90" s="11"/>
      <c r="K90" s="10"/>
      <c r="L90" s="16"/>
      <c r="M90" s="10"/>
      <c r="N90" s="10"/>
      <c r="O90" s="10"/>
      <c r="P90" s="10"/>
      <c r="Q90" s="303"/>
      <c r="R90" s="12"/>
      <c r="S90" s="12"/>
      <c r="T90" s="12"/>
      <c r="U90" s="12"/>
      <c r="V90" s="12"/>
      <c r="W90" s="12"/>
      <c r="X90" s="12"/>
    </row>
    <row r="91" spans="2:24" outlineLevel="1" x14ac:dyDescent="0.2">
      <c r="B91" s="14"/>
      <c r="C91" s="15"/>
      <c r="D91" s="15"/>
      <c r="E91" s="15"/>
      <c r="F91" s="14"/>
      <c r="G91" s="300"/>
      <c r="H91" s="10"/>
      <c r="I91" s="11"/>
      <c r="J91" s="11"/>
      <c r="K91" s="10"/>
      <c r="L91" s="16"/>
      <c r="M91" s="10"/>
      <c r="N91" s="10"/>
      <c r="O91" s="10"/>
      <c r="P91" s="10"/>
      <c r="Q91" s="11"/>
      <c r="R91" s="12"/>
      <c r="S91" s="12"/>
      <c r="T91" s="12"/>
      <c r="U91" s="12"/>
      <c r="V91" s="12"/>
      <c r="W91" s="12"/>
      <c r="X91" s="12"/>
    </row>
    <row r="92" spans="2:24" outlineLevel="1" x14ac:dyDescent="0.2">
      <c r="B92" s="14"/>
      <c r="C92" s="15"/>
      <c r="D92" s="15"/>
      <c r="E92" s="15"/>
      <c r="F92" s="14"/>
      <c r="G92" s="300"/>
      <c r="H92" s="10"/>
      <c r="I92" s="11"/>
      <c r="J92" s="11"/>
      <c r="K92" s="10"/>
      <c r="L92" s="16"/>
      <c r="M92" s="10"/>
      <c r="N92" s="10"/>
      <c r="O92" s="10"/>
      <c r="P92" s="10"/>
      <c r="Q92" s="11"/>
      <c r="R92" s="12"/>
      <c r="S92" s="12"/>
      <c r="T92" s="12"/>
      <c r="U92" s="12"/>
      <c r="V92" s="12"/>
      <c r="W92" s="12"/>
      <c r="X92" s="12"/>
    </row>
    <row r="93" spans="2:24" outlineLevel="1" x14ac:dyDescent="0.2">
      <c r="B93" s="14"/>
      <c r="C93" s="15"/>
      <c r="D93" s="15"/>
      <c r="E93" s="15"/>
      <c r="F93" s="14"/>
      <c r="G93" s="300"/>
      <c r="H93" s="10"/>
      <c r="I93" s="11"/>
      <c r="J93" s="11"/>
      <c r="K93" s="10"/>
      <c r="L93" s="16"/>
      <c r="M93" s="10"/>
      <c r="N93" s="10"/>
      <c r="O93" s="10"/>
      <c r="P93" s="10"/>
      <c r="Q93" s="11"/>
      <c r="R93" s="12"/>
      <c r="S93" s="12"/>
      <c r="T93" s="12"/>
      <c r="U93" s="12"/>
      <c r="V93" s="12"/>
      <c r="W93" s="12"/>
      <c r="X93" s="12"/>
    </row>
    <row r="94" spans="2:24" outlineLevel="1" x14ac:dyDescent="0.2">
      <c r="B94" s="14"/>
      <c r="C94" s="15"/>
      <c r="D94" s="15"/>
      <c r="E94" s="15"/>
      <c r="F94" s="14"/>
      <c r="G94" s="300"/>
      <c r="H94" s="10"/>
      <c r="I94" s="11"/>
      <c r="J94" s="11"/>
      <c r="K94" s="10"/>
      <c r="L94" s="16"/>
      <c r="M94" s="10"/>
      <c r="N94" s="10"/>
      <c r="O94" s="10"/>
      <c r="P94" s="10"/>
      <c r="Q94" s="11"/>
      <c r="R94" s="12"/>
      <c r="S94" s="12"/>
      <c r="T94" s="12"/>
      <c r="U94" s="12"/>
      <c r="V94" s="12"/>
      <c r="W94" s="12"/>
      <c r="X94" s="12"/>
    </row>
    <row r="95" spans="2:24" outlineLevel="1" x14ac:dyDescent="0.2">
      <c r="B95" s="14"/>
      <c r="C95" s="15"/>
      <c r="D95" s="15"/>
      <c r="E95" s="15"/>
      <c r="F95" s="14"/>
      <c r="G95" s="300"/>
      <c r="H95" s="10"/>
      <c r="I95" s="11"/>
      <c r="J95" s="11"/>
      <c r="K95" s="10"/>
      <c r="L95" s="16"/>
      <c r="M95" s="10"/>
      <c r="N95" s="10"/>
      <c r="O95" s="10"/>
      <c r="P95" s="10"/>
      <c r="Q95" s="11"/>
      <c r="R95" s="12"/>
      <c r="S95" s="12"/>
      <c r="T95" s="12"/>
      <c r="U95" s="12"/>
      <c r="V95" s="12"/>
      <c r="W95" s="12"/>
      <c r="X95" s="12"/>
    </row>
    <row r="96" spans="2:24" outlineLevel="1" x14ac:dyDescent="0.2">
      <c r="B96" s="14"/>
      <c r="C96" s="15"/>
      <c r="D96" s="15"/>
      <c r="E96" s="15"/>
      <c r="F96" s="14"/>
      <c r="G96" s="300"/>
      <c r="H96" s="10"/>
      <c r="I96" s="11"/>
      <c r="J96" s="11"/>
      <c r="K96" s="10"/>
      <c r="L96" s="16"/>
      <c r="M96" s="10"/>
      <c r="N96" s="10"/>
      <c r="O96" s="10"/>
      <c r="P96" s="10"/>
      <c r="Q96" s="11"/>
      <c r="R96" s="12"/>
      <c r="S96" s="12"/>
      <c r="T96" s="12"/>
      <c r="U96" s="12"/>
      <c r="V96" s="12"/>
      <c r="W96" s="12"/>
      <c r="X96" s="12"/>
    </row>
    <row r="97" spans="1:24" outlineLevel="1" x14ac:dyDescent="0.2"/>
    <row r="98" spans="1:24" ht="17" thickBot="1" x14ac:dyDescent="0.25">
      <c r="A98" s="23"/>
      <c r="B98" s="39"/>
      <c r="C98" s="39"/>
      <c r="D98" s="39"/>
      <c r="E98" s="39"/>
      <c r="F98" s="39"/>
      <c r="G98" s="39"/>
      <c r="H98" s="39"/>
      <c r="I98" s="39"/>
      <c r="J98" s="39"/>
      <c r="K98" s="23"/>
      <c r="L98" s="39"/>
      <c r="M98" s="23"/>
      <c r="N98" s="23"/>
      <c r="O98" s="23"/>
      <c r="P98" s="23"/>
      <c r="Q98" s="39"/>
      <c r="R98" s="23"/>
      <c r="S98" s="23"/>
      <c r="T98" s="23"/>
      <c r="U98" s="23"/>
      <c r="V98" s="23"/>
      <c r="W98" s="23"/>
      <c r="X98" s="23"/>
    </row>
    <row r="99" spans="1:24" x14ac:dyDescent="0.2">
      <c r="B99" s="34" t="s">
        <v>741</v>
      </c>
      <c r="C99" s="38">
        <f>COUNTA(C7:C98)</f>
        <v>12</v>
      </c>
      <c r="D99" s="3"/>
      <c r="E99" s="37" t="str">
        <f>IF(SUM(E29,E38,E97)&gt;0,SUM(E29,E38,E97),"")</f>
        <v/>
      </c>
      <c r="F99" s="38">
        <f>SUM(F7:F98)</f>
        <v>12</v>
      </c>
      <c r="G99" s="38"/>
      <c r="H99" s="38">
        <f>SUM(H7:H98)</f>
        <v>354540.514122675</v>
      </c>
      <c r="I99" s="38">
        <f>SUM(I7:I98)</f>
        <v>3000</v>
      </c>
      <c r="J99" s="38">
        <f>SUM(J7:J98)</f>
        <v>0</v>
      </c>
      <c r="K99" s="38">
        <f>SUM(K7:K98)</f>
        <v>357540.514122675</v>
      </c>
      <c r="M99" s="38">
        <f>SUM(M7:M98)</f>
        <v>29179.217165363028</v>
      </c>
      <c r="N99" s="38">
        <f>SUM(N7:N98)</f>
        <v>0</v>
      </c>
      <c r="O99" s="38">
        <f>SUM(O7:O98)</f>
        <v>5350</v>
      </c>
      <c r="P99" s="38">
        <f>SUM(P7:P98)</f>
        <v>5184.3374547787871</v>
      </c>
      <c r="Q99" s="38"/>
      <c r="R99" s="38">
        <f t="shared" ref="R99:X99" si="19">SUM(R7:R98)</f>
        <v>103746.84</v>
      </c>
      <c r="S99" s="38">
        <f t="shared" si="19"/>
        <v>7150.8102824534999</v>
      </c>
      <c r="T99" s="38">
        <f t="shared" si="19"/>
        <v>4290.4861694721003</v>
      </c>
      <c r="U99" s="38">
        <f t="shared" si="19"/>
        <v>0</v>
      </c>
      <c r="V99" s="38">
        <f t="shared" si="19"/>
        <v>0</v>
      </c>
      <c r="W99" s="38">
        <f t="shared" si="19"/>
        <v>154901.69107206739</v>
      </c>
      <c r="X99" s="38">
        <f t="shared" si="19"/>
        <v>512442.20519474248</v>
      </c>
    </row>
    <row r="101" spans="1:24" x14ac:dyDescent="0.2">
      <c r="B101" s="34" t="s">
        <v>745</v>
      </c>
      <c r="F101" s="38">
        <f>SUMIF($B:$B,1100,F:F)</f>
        <v>5</v>
      </c>
      <c r="G101" s="38"/>
      <c r="H101" s="38">
        <f>SUMIF($B:$B,1100,H:H)</f>
        <v>209936.514122675</v>
      </c>
      <c r="I101" s="38">
        <f>SUMIF($B:$B,1100,I:I)</f>
        <v>1500</v>
      </c>
      <c r="J101" s="38">
        <f>SUMIF($B:$B,1100,J:J)</f>
        <v>0</v>
      </c>
      <c r="K101" s="38">
        <f>SUMIF($B:$B,1100,K:K)</f>
        <v>211436.514122675</v>
      </c>
      <c r="M101" s="38">
        <f>SUMIF($B:$B,1100,M:M)</f>
        <v>22687.137965363028</v>
      </c>
      <c r="N101" s="38">
        <f>SUMIF($B:$B,1100,N:N)</f>
        <v>0</v>
      </c>
      <c r="O101" s="38">
        <f>SUMIF($B:$B,1100,O:O)</f>
        <v>0</v>
      </c>
      <c r="P101" s="38">
        <f>SUMIF($B:$B,1100,P:P)</f>
        <v>3065.8294547787877</v>
      </c>
      <c r="Q101" s="38"/>
      <c r="R101" s="38">
        <f t="shared" ref="R101:X101" si="20">SUMIF($B:$B,1100,R:R)</f>
        <v>94781.16</v>
      </c>
      <c r="S101" s="38">
        <f t="shared" si="20"/>
        <v>4228.7302824535</v>
      </c>
      <c r="T101" s="38">
        <f t="shared" si="20"/>
        <v>2537.2381694721003</v>
      </c>
      <c r="U101" s="38">
        <f t="shared" si="20"/>
        <v>0</v>
      </c>
      <c r="V101" s="38">
        <f t="shared" si="20"/>
        <v>0</v>
      </c>
      <c r="W101" s="38">
        <f t="shared" si="20"/>
        <v>127300.09587206741</v>
      </c>
      <c r="X101" s="38">
        <f t="shared" si="20"/>
        <v>338736.60999474244</v>
      </c>
    </row>
  </sheetData>
  <sortState ref="B7:X57">
    <sortCondition ref="B7:B57"/>
    <sortCondition ref="D7:D57"/>
  </sortState>
  <pageMargins left="0.25" right="0" top="0.25" bottom="0.25" header="0.3" footer="0.3"/>
  <pageSetup scale="36"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pageSetUpPr fitToPage="1"/>
  </sheetPr>
  <dimension ref="A1:X169"/>
  <sheetViews>
    <sheetView workbookViewId="0">
      <pane xSplit="3" ySplit="6" topLeftCell="D7" activePane="bottomRight" state="frozen"/>
      <selection activeCell="C22" sqref="C22"/>
      <selection pane="topRight" activeCell="C22" sqref="C22"/>
      <selection pane="bottomLeft" activeCell="C22" sqref="C22"/>
      <selection pane="bottomRight" activeCell="Q22" sqref="Q22"/>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7.83203125" style="95" customWidth="1"/>
    <col min="19" max="19" width="11.5" style="1" bestFit="1" customWidth="1"/>
    <col min="20" max="20" width="14.5" style="1" customWidth="1"/>
    <col min="21" max="24" width="11.5" style="1" customWidth="1"/>
    <col min="25"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20" ht="20" x14ac:dyDescent="0.2">
      <c r="A1" s="22" t="str">
        <f>'Student Info'!$A$1</f>
        <v>Three Rivers Charter School</v>
      </c>
      <c r="D1" s="181" t="s">
        <v>829</v>
      </c>
    </row>
    <row r="2" spans="1:20" ht="18" x14ac:dyDescent="0.2">
      <c r="A2" s="21" t="s">
        <v>804</v>
      </c>
    </row>
    <row r="3" spans="1:20" ht="18" x14ac:dyDescent="0.2">
      <c r="A3" s="21" t="str">
        <f>'Cash Flow $s Yr1'!A3</f>
        <v>2015-16</v>
      </c>
    </row>
    <row r="5" spans="1:20" ht="18" x14ac:dyDescent="0.2">
      <c r="A5" s="29"/>
      <c r="B5" s="41"/>
      <c r="C5" s="29"/>
      <c r="D5" s="96"/>
      <c r="E5" s="96"/>
      <c r="F5" s="96"/>
      <c r="G5" s="96"/>
      <c r="H5" s="96"/>
      <c r="I5" s="96"/>
      <c r="J5" s="96"/>
      <c r="K5" s="96"/>
      <c r="L5" s="96"/>
      <c r="M5" s="96"/>
      <c r="N5" s="96"/>
      <c r="O5" s="96"/>
      <c r="P5" s="96"/>
      <c r="Q5" s="96"/>
      <c r="R5" s="96"/>
    </row>
    <row r="6" spans="1:20"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20" ht="18" x14ac:dyDescent="0.2">
      <c r="A7" s="47" t="s">
        <v>794</v>
      </c>
      <c r="B7" s="87"/>
      <c r="D7" s="31"/>
      <c r="F7" s="97"/>
      <c r="G7" s="97"/>
      <c r="H7" s="97"/>
      <c r="I7" s="31"/>
      <c r="J7" s="31"/>
      <c r="K7" s="97"/>
      <c r="L7" s="97"/>
      <c r="M7" s="97"/>
      <c r="N7" s="97"/>
      <c r="O7" s="97"/>
      <c r="P7" s="97"/>
      <c r="Q7" s="97"/>
      <c r="R7" s="97"/>
    </row>
    <row r="8" spans="1:20" ht="18" x14ac:dyDescent="0.2">
      <c r="A8" s="47"/>
      <c r="B8" s="87"/>
      <c r="C8" s="109" t="s">
        <v>817</v>
      </c>
      <c r="D8" s="110" t="s">
        <v>782</v>
      </c>
      <c r="F8" s="97"/>
      <c r="G8" s="97"/>
      <c r="H8" s="97"/>
      <c r="I8" s="31"/>
      <c r="J8" s="31"/>
      <c r="K8" s="97"/>
      <c r="L8" s="97"/>
      <c r="M8" s="97"/>
      <c r="N8" s="97"/>
      <c r="O8" s="97"/>
      <c r="P8" s="97"/>
      <c r="Q8" s="97"/>
      <c r="R8" s="97"/>
    </row>
    <row r="9" spans="1:20" ht="18" x14ac:dyDescent="0.2">
      <c r="A9" s="47"/>
      <c r="B9" s="87"/>
      <c r="C9" s="89" t="s">
        <v>818</v>
      </c>
      <c r="D9" s="115">
        <v>0</v>
      </c>
      <c r="E9" s="115">
        <v>0.05</v>
      </c>
      <c r="F9" s="115">
        <v>0.05</v>
      </c>
      <c r="G9" s="115">
        <v>0.09</v>
      </c>
      <c r="H9" s="115">
        <v>0.09</v>
      </c>
      <c r="I9" s="115">
        <v>0.09</v>
      </c>
      <c r="J9" s="115">
        <v>0.09</v>
      </c>
      <c r="K9" s="115">
        <v>0.09</v>
      </c>
      <c r="L9" s="115">
        <v>0.09</v>
      </c>
      <c r="M9" s="115">
        <v>0.09</v>
      </c>
      <c r="N9" s="115">
        <v>0.09</v>
      </c>
      <c r="O9" s="115">
        <v>0.09</v>
      </c>
      <c r="P9" s="115">
        <v>0.06</v>
      </c>
      <c r="Q9" s="115">
        <v>0.03</v>
      </c>
      <c r="R9" s="115">
        <v>0</v>
      </c>
      <c r="S9" s="111">
        <f>SUM(D9:R9)</f>
        <v>0.99999999999999978</v>
      </c>
      <c r="T9" s="1" t="s">
        <v>1100</v>
      </c>
    </row>
    <row r="10" spans="1:20" ht="18" x14ac:dyDescent="0.2">
      <c r="A10" s="47"/>
      <c r="B10" s="87"/>
      <c r="C10" s="89" t="s">
        <v>819</v>
      </c>
      <c r="D10" s="112"/>
      <c r="E10" s="118"/>
      <c r="F10" s="118"/>
      <c r="G10" s="115">
        <f>(1-$P$9)*0.37</f>
        <v>0.3478</v>
      </c>
      <c r="H10" s="115"/>
      <c r="I10" s="118"/>
      <c r="J10" s="115">
        <f>(1-$P$9)*0.18</f>
        <v>0.16919999999999999</v>
      </c>
      <c r="K10" s="118"/>
      <c r="L10" s="115">
        <f>L9</f>
        <v>0.09</v>
      </c>
      <c r="M10" s="115">
        <f t="shared" ref="M10:R10" si="0">M9</f>
        <v>0.09</v>
      </c>
      <c r="N10" s="115">
        <f t="shared" si="0"/>
        <v>0.09</v>
      </c>
      <c r="O10" s="115">
        <f t="shared" si="0"/>
        <v>0.09</v>
      </c>
      <c r="P10" s="115">
        <f t="shared" si="0"/>
        <v>0.06</v>
      </c>
      <c r="Q10" s="115">
        <f t="shared" si="0"/>
        <v>0.03</v>
      </c>
      <c r="R10" s="115">
        <f t="shared" si="0"/>
        <v>0</v>
      </c>
      <c r="S10" s="111">
        <f>SUM(D10:R10)</f>
        <v>0.96699999999999986</v>
      </c>
    </row>
    <row r="11" spans="1:20" s="31" customFormat="1" ht="18" x14ac:dyDescent="0.2">
      <c r="B11" s="70" t="s">
        <v>779</v>
      </c>
      <c r="C11" s="49"/>
      <c r="D11" s="222"/>
      <c r="E11" s="222"/>
      <c r="F11" s="222"/>
      <c r="G11" s="222"/>
      <c r="H11" s="222"/>
      <c r="I11" s="222"/>
      <c r="J11" s="222"/>
      <c r="K11" s="222"/>
      <c r="L11" s="222"/>
      <c r="M11" s="222"/>
      <c r="N11" s="222"/>
      <c r="O11" s="222"/>
      <c r="P11" s="222"/>
      <c r="Q11" s="222"/>
      <c r="R11" s="222"/>
    </row>
    <row r="12" spans="1:20" s="31" customFormat="1" x14ac:dyDescent="0.2">
      <c r="A12" s="50"/>
      <c r="B12" s="65" t="str">
        <f>'Revenue Input'!B8</f>
        <v>8011</v>
      </c>
      <c r="C12" s="65" t="str">
        <f>'Revenue Input'!C8</f>
        <v>LCFF for all grades; state aid portion</v>
      </c>
      <c r="D12" s="112">
        <f t="shared" ref="D12:R12" si="1">IF($D$8="NO",D$9,D$10)</f>
        <v>0</v>
      </c>
      <c r="E12" s="112">
        <f t="shared" si="1"/>
        <v>0.05</v>
      </c>
      <c r="F12" s="112">
        <f t="shared" si="1"/>
        <v>0.05</v>
      </c>
      <c r="G12" s="112">
        <f t="shared" si="1"/>
        <v>0.09</v>
      </c>
      <c r="H12" s="112">
        <f t="shared" si="1"/>
        <v>0.09</v>
      </c>
      <c r="I12" s="112">
        <f t="shared" si="1"/>
        <v>0.09</v>
      </c>
      <c r="J12" s="112">
        <f t="shared" si="1"/>
        <v>0.09</v>
      </c>
      <c r="K12" s="112">
        <f t="shared" si="1"/>
        <v>0.09</v>
      </c>
      <c r="L12" s="112">
        <f t="shared" si="1"/>
        <v>0.09</v>
      </c>
      <c r="M12" s="112">
        <f t="shared" si="1"/>
        <v>0.09</v>
      </c>
      <c r="N12" s="112">
        <f t="shared" si="1"/>
        <v>0.09</v>
      </c>
      <c r="O12" s="112">
        <f t="shared" si="1"/>
        <v>0.09</v>
      </c>
      <c r="P12" s="112">
        <f t="shared" si="1"/>
        <v>0.06</v>
      </c>
      <c r="Q12" s="112">
        <f t="shared" si="1"/>
        <v>0.03</v>
      </c>
      <c r="R12" s="112">
        <f t="shared" si="1"/>
        <v>0</v>
      </c>
      <c r="S12" s="111">
        <f t="shared" ref="S12:S22" si="2">SUM(D12:R12)</f>
        <v>0.99999999999999978</v>
      </c>
    </row>
    <row r="13" spans="1:20" s="31" customFormat="1" x14ac:dyDescent="0.2">
      <c r="A13" s="50"/>
      <c r="B13" s="65" t="str">
        <f>'Revenue Input'!B9</f>
        <v>8012</v>
      </c>
      <c r="C13" s="65" t="str">
        <f>'Revenue Input'!C9</f>
        <v>LCFF for all grades; EPA portion</v>
      </c>
      <c r="D13" s="99">
        <v>0</v>
      </c>
      <c r="E13" s="99">
        <v>0</v>
      </c>
      <c r="F13" s="99">
        <v>0</v>
      </c>
      <c r="G13" s="99">
        <v>0.25</v>
      </c>
      <c r="H13" s="99">
        <v>0</v>
      </c>
      <c r="I13" s="99">
        <v>0</v>
      </c>
      <c r="J13" s="99">
        <v>0.25</v>
      </c>
      <c r="K13" s="99">
        <v>0</v>
      </c>
      <c r="L13" s="99">
        <v>0</v>
      </c>
      <c r="M13" s="99">
        <v>0.25</v>
      </c>
      <c r="N13" s="99">
        <v>0</v>
      </c>
      <c r="O13" s="99">
        <v>0</v>
      </c>
      <c r="P13" s="99">
        <v>0.25</v>
      </c>
      <c r="Q13" s="99">
        <v>0</v>
      </c>
      <c r="R13" s="99">
        <v>0</v>
      </c>
      <c r="S13" s="111">
        <f t="shared" si="2"/>
        <v>1</v>
      </c>
    </row>
    <row r="14" spans="1:20" s="31" customFormat="1" x14ac:dyDescent="0.2">
      <c r="A14" s="50"/>
      <c r="B14" s="65" t="str">
        <f>'Revenue Input'!B10</f>
        <v>8096</v>
      </c>
      <c r="C14" s="65" t="str">
        <f>'Revenue Input'!C10</f>
        <v>In-Lieu of Property Taxes, all grades</v>
      </c>
      <c r="D14" s="113">
        <v>0.06</v>
      </c>
      <c r="E14" s="113">
        <v>0.12</v>
      </c>
      <c r="F14" s="113">
        <v>0.08</v>
      </c>
      <c r="G14" s="113">
        <v>0.08</v>
      </c>
      <c r="H14" s="113">
        <v>0.08</v>
      </c>
      <c r="I14" s="113">
        <v>0.08</v>
      </c>
      <c r="J14" s="113">
        <v>0.08</v>
      </c>
      <c r="K14" s="113">
        <v>0.14000000000000001</v>
      </c>
      <c r="L14" s="113">
        <v>7.0000000000000007E-2</v>
      </c>
      <c r="M14" s="113">
        <v>7.0000000000000007E-2</v>
      </c>
      <c r="N14" s="113">
        <v>7.0000000000000007E-2</v>
      </c>
      <c r="O14" s="113">
        <v>7.0000000000000007E-2</v>
      </c>
      <c r="P14" s="113">
        <v>0</v>
      </c>
      <c r="Q14" s="113">
        <v>0</v>
      </c>
      <c r="R14" s="113">
        <v>0</v>
      </c>
      <c r="S14" s="111">
        <f t="shared" si="2"/>
        <v>1.0000000000000002</v>
      </c>
    </row>
    <row r="15" spans="1:20" s="31" customFormat="1" x14ac:dyDescent="0.2">
      <c r="A15" s="50"/>
      <c r="B15" s="65" t="str">
        <f>'Revenue Input'!B11</f>
        <v>8599</v>
      </c>
      <c r="C15" s="65" t="str">
        <f>'Revenue Input'!C11</f>
        <v>Prior Year Income / Adjustments</v>
      </c>
      <c r="D15" s="112">
        <f>IF($D$8="NO",P9/SUM($P$9:$R$9),"")</f>
        <v>0.66666666666666663</v>
      </c>
      <c r="E15" s="112">
        <f>IF($D$8="NO",Q9/SUM($P$9:$R$9),"")</f>
        <v>0.33333333333333331</v>
      </c>
      <c r="F15" s="112">
        <f>IF($D$8="NO",R9/SUM($P$9:$R$9),"")</f>
        <v>0</v>
      </c>
      <c r="G15" s="112"/>
      <c r="H15" s="112"/>
      <c r="I15" s="112"/>
      <c r="J15" s="112"/>
      <c r="K15" s="112"/>
      <c r="L15" s="112"/>
      <c r="M15" s="112"/>
      <c r="N15" s="112"/>
      <c r="O15" s="112"/>
      <c r="P15" s="112"/>
      <c r="Q15" s="112"/>
      <c r="R15" s="112"/>
      <c r="S15" s="111">
        <f t="shared" si="2"/>
        <v>1</v>
      </c>
    </row>
    <row r="16" spans="1:20" s="31" customFormat="1" x14ac:dyDescent="0.2">
      <c r="A16" s="50"/>
      <c r="B16" s="65" t="str">
        <f>'Revenue Input'!B12</f>
        <v>8181</v>
      </c>
      <c r="C16" s="65" t="str">
        <f>'Revenue Input'!C12</f>
        <v>Special Education</v>
      </c>
      <c r="D16" s="112">
        <f t="shared" ref="D16:R16" si="3">IF($D$8="NO",D$9,D$10)</f>
        <v>0</v>
      </c>
      <c r="E16" s="112">
        <f t="shared" si="3"/>
        <v>0.05</v>
      </c>
      <c r="F16" s="112">
        <f t="shared" si="3"/>
        <v>0.05</v>
      </c>
      <c r="G16" s="112">
        <f t="shared" si="3"/>
        <v>0.09</v>
      </c>
      <c r="H16" s="112">
        <f t="shared" si="3"/>
        <v>0.09</v>
      </c>
      <c r="I16" s="112">
        <f t="shared" si="3"/>
        <v>0.09</v>
      </c>
      <c r="J16" s="112">
        <f t="shared" si="3"/>
        <v>0.09</v>
      </c>
      <c r="K16" s="112">
        <f t="shared" si="3"/>
        <v>0.09</v>
      </c>
      <c r="L16" s="112">
        <f t="shared" si="3"/>
        <v>0.09</v>
      </c>
      <c r="M16" s="112">
        <f t="shared" si="3"/>
        <v>0.09</v>
      </c>
      <c r="N16" s="112">
        <f t="shared" si="3"/>
        <v>0.09</v>
      </c>
      <c r="O16" s="112">
        <f t="shared" si="3"/>
        <v>0.09</v>
      </c>
      <c r="P16" s="112">
        <f t="shared" si="3"/>
        <v>0.06</v>
      </c>
      <c r="Q16" s="112">
        <f t="shared" si="3"/>
        <v>0.03</v>
      </c>
      <c r="R16" s="112">
        <f t="shared" si="3"/>
        <v>0</v>
      </c>
      <c r="S16" s="111">
        <f t="shared" si="2"/>
        <v>0.99999999999999978</v>
      </c>
    </row>
    <row r="17" spans="1:20" s="31" customFormat="1" x14ac:dyDescent="0.2">
      <c r="A17" s="50"/>
      <c r="B17" s="65" t="str">
        <f>'Revenue Input'!B13</f>
        <v>8560</v>
      </c>
      <c r="C17" s="65" t="str">
        <f>'Revenue Input'!C13</f>
        <v>Lottery</v>
      </c>
      <c r="D17" s="112">
        <v>0</v>
      </c>
      <c r="E17" s="112">
        <v>0</v>
      </c>
      <c r="F17" s="112">
        <v>0</v>
      </c>
      <c r="G17" s="112">
        <v>0</v>
      </c>
      <c r="H17" s="112">
        <v>0</v>
      </c>
      <c r="I17" s="112">
        <v>0.25</v>
      </c>
      <c r="J17" s="112">
        <v>0</v>
      </c>
      <c r="K17" s="112">
        <v>0.25</v>
      </c>
      <c r="L17" s="112">
        <v>0</v>
      </c>
      <c r="M17" s="112">
        <f>IF($D$8="NO",0.25,"")</f>
        <v>0.25</v>
      </c>
      <c r="N17" s="112">
        <v>0</v>
      </c>
      <c r="O17" s="112">
        <v>0</v>
      </c>
      <c r="P17" s="112">
        <f>IF($D$8="NO",0.25,"")</f>
        <v>0.25</v>
      </c>
      <c r="Q17" s="112">
        <v>0</v>
      </c>
      <c r="R17" s="112">
        <v>0</v>
      </c>
      <c r="S17" s="111">
        <f t="shared" si="2"/>
        <v>1</v>
      </c>
      <c r="T17" s="1"/>
    </row>
    <row r="18" spans="1:20" s="31" customFormat="1" x14ac:dyDescent="0.2">
      <c r="A18" s="49"/>
      <c r="B18" s="65" t="str">
        <f>'Revenue Input'!B14</f>
        <v>8520</v>
      </c>
      <c r="C18" s="65" t="str">
        <f>'Revenue Input'!C14</f>
        <v>State Child Nutrition program</v>
      </c>
      <c r="D18" s="112">
        <v>0</v>
      </c>
      <c r="E18" s="112">
        <v>0</v>
      </c>
      <c r="F18" s="112">
        <v>0</v>
      </c>
      <c r="G18" s="117">
        <v>0</v>
      </c>
      <c r="H18" s="117">
        <v>0.1</v>
      </c>
      <c r="I18" s="117">
        <v>0.1</v>
      </c>
      <c r="J18" s="117">
        <v>0.1</v>
      </c>
      <c r="K18" s="117">
        <v>0.1</v>
      </c>
      <c r="L18" s="117">
        <v>0.1</v>
      </c>
      <c r="M18" s="117">
        <v>0.1</v>
      </c>
      <c r="N18" s="117">
        <v>0.1</v>
      </c>
      <c r="O18" s="117">
        <v>0.1</v>
      </c>
      <c r="P18" s="117">
        <v>0.1</v>
      </c>
      <c r="Q18" s="112">
        <v>0.1</v>
      </c>
      <c r="R18" s="112">
        <v>0</v>
      </c>
      <c r="S18" s="111">
        <f t="shared" si="2"/>
        <v>0.99999999999999989</v>
      </c>
    </row>
    <row r="19" spans="1:20" s="31" customFormat="1" x14ac:dyDescent="0.2">
      <c r="A19" s="50"/>
      <c r="B19" s="65" t="str">
        <f>'Revenue Input'!B15</f>
        <v>8591</v>
      </c>
      <c r="C19" s="65" t="str">
        <f>'Revenue Input'!C15</f>
        <v>SB 740 Rent re-imbursement program</v>
      </c>
      <c r="D19" s="112">
        <v>0</v>
      </c>
      <c r="E19" s="112">
        <v>0</v>
      </c>
      <c r="F19" s="112">
        <v>0</v>
      </c>
      <c r="G19" s="112">
        <v>0</v>
      </c>
      <c r="H19" s="112">
        <v>0.25</v>
      </c>
      <c r="I19" s="112">
        <v>0</v>
      </c>
      <c r="J19" s="112">
        <v>0</v>
      </c>
      <c r="K19" s="112">
        <v>0.25</v>
      </c>
      <c r="L19" s="112">
        <v>0</v>
      </c>
      <c r="M19" s="112">
        <v>0</v>
      </c>
      <c r="N19" s="112">
        <v>0.25</v>
      </c>
      <c r="O19" s="112">
        <v>0</v>
      </c>
      <c r="P19" s="112">
        <v>0</v>
      </c>
      <c r="Q19" s="112">
        <v>0.25</v>
      </c>
      <c r="R19" s="112">
        <v>0</v>
      </c>
      <c r="S19" s="111">
        <f t="shared" si="2"/>
        <v>1</v>
      </c>
    </row>
    <row r="20" spans="1:20" s="31" customFormat="1" ht="18" x14ac:dyDescent="0.2">
      <c r="A20" s="47"/>
      <c r="B20" s="65" t="str">
        <f>'Revenue Input'!B16</f>
        <v>8590</v>
      </c>
      <c r="C20" s="65" t="str">
        <f>'Revenue Input'!C16</f>
        <v>Educator Effectiveness</v>
      </c>
      <c r="D20" s="112">
        <v>0</v>
      </c>
      <c r="E20" s="112">
        <v>0</v>
      </c>
      <c r="F20" s="112">
        <v>0</v>
      </c>
      <c r="G20" s="112">
        <v>0</v>
      </c>
      <c r="H20" s="112">
        <v>0</v>
      </c>
      <c r="I20" s="112">
        <v>0.8</v>
      </c>
      <c r="J20" s="112">
        <v>0</v>
      </c>
      <c r="K20" s="112">
        <v>0</v>
      </c>
      <c r="L20" s="112">
        <v>0.2</v>
      </c>
      <c r="M20" s="112">
        <v>0</v>
      </c>
      <c r="N20" s="112">
        <v>0</v>
      </c>
      <c r="O20" s="112">
        <v>0</v>
      </c>
      <c r="P20" s="112">
        <v>0</v>
      </c>
      <c r="Q20" s="112">
        <v>0</v>
      </c>
      <c r="R20" s="112">
        <v>0</v>
      </c>
      <c r="S20" s="111">
        <f t="shared" si="2"/>
        <v>1</v>
      </c>
    </row>
    <row r="21" spans="1:20" s="31" customFormat="1" ht="18" x14ac:dyDescent="0.2">
      <c r="A21" s="47"/>
      <c r="B21" s="65" t="str">
        <f>'Revenue Input'!B17</f>
        <v>8550</v>
      </c>
      <c r="C21" s="65" t="str">
        <f>'Revenue Input'!C17</f>
        <v>Mandate Block Grant</v>
      </c>
      <c r="D21" s="112">
        <v>0</v>
      </c>
      <c r="E21" s="112">
        <v>0</v>
      </c>
      <c r="F21" s="112">
        <v>0.5</v>
      </c>
      <c r="G21" s="112">
        <v>0</v>
      </c>
      <c r="H21" s="112">
        <v>0</v>
      </c>
      <c r="I21" s="112">
        <v>0</v>
      </c>
      <c r="J21" s="112">
        <v>0.5</v>
      </c>
      <c r="K21" s="112">
        <v>0</v>
      </c>
      <c r="L21" s="112">
        <v>0</v>
      </c>
      <c r="M21" s="112">
        <v>0</v>
      </c>
      <c r="N21" s="112">
        <v>0</v>
      </c>
      <c r="O21" s="112">
        <v>0</v>
      </c>
      <c r="P21" s="112">
        <v>0</v>
      </c>
      <c r="Q21" s="112">
        <v>0</v>
      </c>
      <c r="R21" s="112">
        <v>0</v>
      </c>
      <c r="S21" s="111">
        <f>SUM(D21:R21)</f>
        <v>1</v>
      </c>
    </row>
    <row r="22" spans="1:20" s="31" customFormat="1" ht="18" x14ac:dyDescent="0.2">
      <c r="A22" s="47"/>
      <c r="B22" s="65" t="str">
        <f>'Revenue Input'!B18</f>
        <v>8550</v>
      </c>
      <c r="C22" s="65" t="str">
        <f>'Revenue Input'!C18</f>
        <v>One Time Block Grant</v>
      </c>
      <c r="D22" s="112">
        <v>0</v>
      </c>
      <c r="E22" s="112">
        <v>0</v>
      </c>
      <c r="F22" s="112">
        <v>0</v>
      </c>
      <c r="G22" s="112">
        <v>0</v>
      </c>
      <c r="H22" s="112">
        <v>0</v>
      </c>
      <c r="I22" s="112">
        <v>0.8</v>
      </c>
      <c r="J22" s="112">
        <v>0</v>
      </c>
      <c r="K22" s="112">
        <v>0</v>
      </c>
      <c r="L22" s="112">
        <v>0.2</v>
      </c>
      <c r="M22" s="112">
        <v>0</v>
      </c>
      <c r="N22" s="112">
        <v>0</v>
      </c>
      <c r="O22" s="112">
        <v>0</v>
      </c>
      <c r="P22" s="112">
        <v>0</v>
      </c>
      <c r="Q22" s="112">
        <v>0</v>
      </c>
      <c r="R22" s="112">
        <v>0</v>
      </c>
      <c r="S22" s="111">
        <f t="shared" si="2"/>
        <v>1</v>
      </c>
    </row>
    <row r="23" spans="1:20" s="31" customFormat="1" ht="18" x14ac:dyDescent="0.2">
      <c r="A23" s="47"/>
      <c r="B23" s="72"/>
      <c r="C23" s="50"/>
      <c r="D23" s="120"/>
      <c r="E23" s="120"/>
      <c r="F23" s="120"/>
      <c r="G23" s="120"/>
      <c r="H23" s="120"/>
      <c r="I23" s="120"/>
      <c r="J23" s="120"/>
      <c r="K23" s="120"/>
      <c r="L23" s="120"/>
      <c r="M23" s="120"/>
      <c r="N23" s="120"/>
      <c r="O23" s="120"/>
      <c r="P23" s="120"/>
      <c r="Q23" s="120"/>
      <c r="R23" s="121"/>
      <c r="S23" s="111"/>
    </row>
    <row r="24" spans="1:20" s="31" customFormat="1" ht="18" x14ac:dyDescent="0.2">
      <c r="A24" s="47"/>
      <c r="B24" s="72"/>
      <c r="C24" s="50"/>
      <c r="D24" s="119"/>
      <c r="E24" s="119"/>
      <c r="F24" s="119"/>
      <c r="G24" s="119"/>
      <c r="H24" s="119"/>
      <c r="I24" s="119"/>
      <c r="J24" s="119"/>
      <c r="K24" s="119"/>
      <c r="L24" s="119"/>
      <c r="M24" s="119"/>
      <c r="N24" s="119"/>
      <c r="O24" s="119"/>
      <c r="P24" s="119"/>
      <c r="Q24" s="119"/>
      <c r="R24" s="119"/>
    </row>
    <row r="25" spans="1:20" s="31" customFormat="1" ht="18" x14ac:dyDescent="0.2">
      <c r="B25" s="47" t="s">
        <v>785</v>
      </c>
      <c r="C25" s="50"/>
      <c r="D25" s="119"/>
      <c r="E25" s="119"/>
      <c r="F25" s="119"/>
      <c r="G25" s="119"/>
      <c r="H25" s="119"/>
      <c r="I25" s="119"/>
      <c r="J25" s="119"/>
      <c r="K25" s="119"/>
      <c r="L25" s="119"/>
      <c r="M25" s="119"/>
      <c r="N25" s="119"/>
      <c r="O25" s="119"/>
      <c r="P25" s="119"/>
      <c r="Q25" s="119"/>
      <c r="R25" s="119"/>
    </row>
    <row r="26" spans="1:20" s="31" customFormat="1" ht="18" x14ac:dyDescent="0.2">
      <c r="A26" s="47"/>
      <c r="B26" s="65" t="str">
        <f>'Revenue Input'!B22</f>
        <v>8220</v>
      </c>
      <c r="C26" s="65" t="str">
        <f>'Revenue Input'!C22</f>
        <v>Federal Child Nutrition Programs</v>
      </c>
      <c r="D26" s="117"/>
      <c r="E26" s="117"/>
      <c r="F26" s="117"/>
      <c r="G26" s="117"/>
      <c r="H26" s="117">
        <v>0.1</v>
      </c>
      <c r="I26" s="117">
        <v>0.1</v>
      </c>
      <c r="J26" s="117">
        <v>0.1</v>
      </c>
      <c r="K26" s="117">
        <v>0.1</v>
      </c>
      <c r="L26" s="117">
        <v>0.1</v>
      </c>
      <c r="M26" s="117">
        <v>0.1</v>
      </c>
      <c r="N26" s="117">
        <v>0.1</v>
      </c>
      <c r="O26" s="117">
        <v>0.1</v>
      </c>
      <c r="P26" s="117">
        <v>0.1</v>
      </c>
      <c r="Q26" s="112">
        <v>0.1</v>
      </c>
      <c r="R26" s="112"/>
      <c r="S26" s="107">
        <f t="shared" ref="S26:S33" si="4">SUM(D26:R26)</f>
        <v>0.99999999999999989</v>
      </c>
    </row>
    <row r="27" spans="1:20" s="31" customFormat="1" ht="18" x14ac:dyDescent="0.2">
      <c r="A27" s="47"/>
      <c r="B27" s="65" t="str">
        <f>'Revenue Input'!B23</f>
        <v>8290</v>
      </c>
      <c r="C27" s="65" t="str">
        <f>'Revenue Input'!C23</f>
        <v>All Other Federal Revenue, inc Facilities Incentive Grants program</v>
      </c>
      <c r="D27" s="112">
        <v>0</v>
      </c>
      <c r="E27" s="112">
        <v>0</v>
      </c>
      <c r="F27" s="112">
        <v>0</v>
      </c>
      <c r="G27" s="112">
        <v>0</v>
      </c>
      <c r="H27" s="112">
        <v>0</v>
      </c>
      <c r="I27" s="112">
        <v>0</v>
      </c>
      <c r="J27" s="112">
        <v>0.25</v>
      </c>
      <c r="K27" s="112">
        <v>0</v>
      </c>
      <c r="L27" s="112">
        <v>0</v>
      </c>
      <c r="M27" s="112">
        <v>0.5</v>
      </c>
      <c r="N27" s="112">
        <v>0</v>
      </c>
      <c r="O27" s="112">
        <v>0.25</v>
      </c>
      <c r="P27" s="112">
        <v>0</v>
      </c>
      <c r="Q27" s="112">
        <v>0</v>
      </c>
      <c r="R27" s="112">
        <v>0</v>
      </c>
      <c r="S27" s="107">
        <f t="shared" si="4"/>
        <v>1</v>
      </c>
    </row>
    <row r="28" spans="1:20" s="31" customFormat="1" ht="18" x14ac:dyDescent="0.2">
      <c r="A28" s="47"/>
      <c r="B28" s="65" t="str">
        <f>'Revenue Input'!B24</f>
        <v>8291</v>
      </c>
      <c r="C28" s="65" t="str">
        <f>'Revenue Input'!C24</f>
        <v>Title I</v>
      </c>
      <c r="D28" s="112"/>
      <c r="E28" s="112"/>
      <c r="F28" s="112"/>
      <c r="G28" s="112"/>
      <c r="H28" s="112"/>
      <c r="I28" s="112"/>
      <c r="J28" s="112">
        <v>0.25</v>
      </c>
      <c r="K28" s="112"/>
      <c r="L28" s="112"/>
      <c r="M28" s="112">
        <v>0.5</v>
      </c>
      <c r="N28" s="112"/>
      <c r="O28" s="112">
        <v>0.25</v>
      </c>
      <c r="P28" s="112"/>
      <c r="Q28" s="112"/>
      <c r="R28" s="112"/>
      <c r="S28" s="107">
        <f t="shared" si="4"/>
        <v>1</v>
      </c>
    </row>
    <row r="29" spans="1:20" s="31" customFormat="1" ht="18" x14ac:dyDescent="0.2">
      <c r="A29" s="47"/>
      <c r="B29" s="65" t="str">
        <f>'Revenue Input'!B25</f>
        <v>8292</v>
      </c>
      <c r="C29" s="65" t="str">
        <f>'Revenue Input'!C25</f>
        <v>Title II</v>
      </c>
      <c r="D29" s="112"/>
      <c r="E29" s="112"/>
      <c r="F29" s="112"/>
      <c r="G29" s="112"/>
      <c r="H29" s="112"/>
      <c r="I29" s="112"/>
      <c r="J29" s="112">
        <v>0.25</v>
      </c>
      <c r="K29" s="112"/>
      <c r="L29" s="112"/>
      <c r="M29" s="112">
        <v>0.5</v>
      </c>
      <c r="N29" s="112"/>
      <c r="O29" s="112">
        <v>0.25</v>
      </c>
      <c r="P29" s="112"/>
      <c r="Q29" s="112"/>
      <c r="R29" s="112"/>
      <c r="S29" s="107">
        <f t="shared" si="4"/>
        <v>1</v>
      </c>
    </row>
    <row r="30" spans="1:20" s="31" customFormat="1" ht="18" x14ac:dyDescent="0.2">
      <c r="A30" s="47"/>
      <c r="B30" s="65" t="str">
        <f>'Revenue Input'!B26</f>
        <v>8293</v>
      </c>
      <c r="C30" s="65" t="str">
        <f>'Revenue Input'!C26</f>
        <v>Title III</v>
      </c>
      <c r="D30" s="112"/>
      <c r="E30" s="112"/>
      <c r="F30" s="112"/>
      <c r="G30" s="112"/>
      <c r="H30" s="112"/>
      <c r="I30" s="112"/>
      <c r="J30" s="112">
        <v>0.25</v>
      </c>
      <c r="K30" s="112"/>
      <c r="L30" s="112"/>
      <c r="M30" s="112">
        <v>0.5</v>
      </c>
      <c r="N30" s="112"/>
      <c r="O30" s="112">
        <v>0.25</v>
      </c>
      <c r="P30" s="112"/>
      <c r="Q30" s="112"/>
      <c r="R30" s="112"/>
      <c r="S30" s="107">
        <f t="shared" si="4"/>
        <v>1</v>
      </c>
    </row>
    <row r="31" spans="1:20" s="31" customFormat="1" ht="18" x14ac:dyDescent="0.2">
      <c r="A31" s="47"/>
      <c r="B31" s="65" t="str">
        <f>'Revenue Input'!B27</f>
        <v>8294</v>
      </c>
      <c r="C31" s="65" t="str">
        <f>'Revenue Input'!C27</f>
        <v>Title IV</v>
      </c>
      <c r="D31" s="112"/>
      <c r="E31" s="112"/>
      <c r="F31" s="112"/>
      <c r="G31" s="112"/>
      <c r="H31" s="112"/>
      <c r="I31" s="112"/>
      <c r="J31" s="112">
        <v>0.25</v>
      </c>
      <c r="K31" s="112"/>
      <c r="L31" s="112"/>
      <c r="M31" s="112">
        <v>0.5</v>
      </c>
      <c r="N31" s="112"/>
      <c r="O31" s="112">
        <v>0.25</v>
      </c>
      <c r="P31" s="112"/>
      <c r="Q31" s="112"/>
      <c r="R31" s="112"/>
      <c r="S31" s="107">
        <f t="shared" si="4"/>
        <v>1</v>
      </c>
    </row>
    <row r="32" spans="1:20" s="31" customFormat="1" ht="18" x14ac:dyDescent="0.2">
      <c r="A32" s="47"/>
      <c r="B32" s="65" t="str">
        <f>'Revenue Input'!B28</f>
        <v>8295</v>
      </c>
      <c r="C32" s="65" t="str">
        <f>'Revenue Input'!C28</f>
        <v>Title V</v>
      </c>
      <c r="D32" s="112"/>
      <c r="E32" s="112"/>
      <c r="F32" s="112">
        <v>1</v>
      </c>
      <c r="G32" s="112"/>
      <c r="H32" s="112"/>
      <c r="I32" s="112"/>
      <c r="J32" s="112"/>
      <c r="K32" s="112"/>
      <c r="L32" s="112"/>
      <c r="M32" s="112"/>
      <c r="N32" s="112"/>
      <c r="O32" s="112"/>
      <c r="P32" s="112"/>
      <c r="Q32" s="112"/>
      <c r="R32" s="112"/>
      <c r="S32" s="107">
        <f t="shared" si="4"/>
        <v>1</v>
      </c>
    </row>
    <row r="33" spans="1:19" s="31" customFormat="1" ht="18" x14ac:dyDescent="0.2">
      <c r="A33" s="47"/>
      <c r="B33" s="65" t="str">
        <f>'Revenue Input'!B29</f>
        <v>8299</v>
      </c>
      <c r="C33" s="65" t="str">
        <f>'Revenue Input'!C29</f>
        <v>Prior Year Federal Revenue</v>
      </c>
      <c r="D33" s="112"/>
      <c r="E33" s="112"/>
      <c r="F33" s="112"/>
      <c r="G33" s="112"/>
      <c r="H33" s="112"/>
      <c r="I33" s="112">
        <v>0.5</v>
      </c>
      <c r="J33" s="112"/>
      <c r="K33" s="112">
        <v>0.4</v>
      </c>
      <c r="L33" s="112"/>
      <c r="M33" s="112"/>
      <c r="N33" s="112">
        <v>0.1</v>
      </c>
      <c r="O33" s="112"/>
      <c r="P33" s="112"/>
      <c r="Q33" s="112"/>
      <c r="R33" s="112"/>
      <c r="S33" s="107">
        <f t="shared" si="4"/>
        <v>1</v>
      </c>
    </row>
    <row r="34" spans="1:19" s="31" customFormat="1" ht="18" x14ac:dyDescent="0.2">
      <c r="A34" s="47"/>
      <c r="B34" s="72"/>
      <c r="C34" s="50"/>
      <c r="D34" s="120"/>
      <c r="E34" s="120"/>
      <c r="F34" s="120"/>
      <c r="G34" s="120"/>
      <c r="H34" s="120"/>
      <c r="I34" s="120"/>
      <c r="J34" s="120"/>
      <c r="K34" s="120"/>
      <c r="L34" s="120"/>
      <c r="M34" s="120"/>
      <c r="N34" s="120"/>
      <c r="O34" s="120"/>
      <c r="P34" s="120"/>
      <c r="Q34" s="120"/>
      <c r="R34" s="120"/>
      <c r="S34" s="107"/>
    </row>
    <row r="35" spans="1:19" s="31" customFormat="1" ht="18" x14ac:dyDescent="0.2">
      <c r="A35" s="47"/>
      <c r="B35" s="72"/>
      <c r="C35" s="50"/>
      <c r="D35" s="123"/>
      <c r="E35" s="123"/>
      <c r="F35" s="123"/>
      <c r="G35" s="123"/>
      <c r="H35" s="123"/>
      <c r="I35" s="123"/>
      <c r="J35" s="123"/>
      <c r="K35" s="123"/>
      <c r="L35" s="123"/>
      <c r="M35" s="123"/>
      <c r="N35" s="123"/>
      <c r="O35" s="123"/>
      <c r="P35" s="123"/>
      <c r="Q35" s="123"/>
      <c r="R35" s="123"/>
    </row>
    <row r="36" spans="1:19" s="31" customFormat="1" ht="18" x14ac:dyDescent="0.2">
      <c r="B36" s="47" t="s">
        <v>795</v>
      </c>
      <c r="C36" s="50"/>
      <c r="D36" s="123"/>
      <c r="E36" s="123"/>
      <c r="F36" s="123"/>
      <c r="G36" s="123"/>
      <c r="H36" s="123"/>
      <c r="I36" s="123"/>
      <c r="J36" s="123"/>
      <c r="K36" s="123"/>
      <c r="L36" s="123"/>
      <c r="M36" s="123"/>
      <c r="N36" s="123"/>
      <c r="O36" s="123"/>
      <c r="P36" s="123"/>
      <c r="Q36" s="123"/>
      <c r="R36" s="123"/>
    </row>
    <row r="37" spans="1:19" s="31" customFormat="1" ht="18" x14ac:dyDescent="0.2">
      <c r="A37" s="47"/>
      <c r="B37" s="65" t="str">
        <f>'Revenue Input'!B33</f>
        <v>8660</v>
      </c>
      <c r="C37" s="65" t="str">
        <f>'Revenue Input'!C33</f>
        <v>Interest</v>
      </c>
      <c r="D37" s="117">
        <v>8.3000000000000004E-2</v>
      </c>
      <c r="E37" s="117">
        <v>8.3000000000000004E-2</v>
      </c>
      <c r="F37" s="117">
        <v>8.3000000000000004E-2</v>
      </c>
      <c r="G37" s="117">
        <v>8.3000000000000004E-2</v>
      </c>
      <c r="H37" s="117">
        <v>8.3000000000000004E-2</v>
      </c>
      <c r="I37" s="117">
        <v>8.3000000000000004E-2</v>
      </c>
      <c r="J37" s="117">
        <v>8.3000000000000004E-2</v>
      </c>
      <c r="K37" s="117">
        <v>8.3000000000000004E-2</v>
      </c>
      <c r="L37" s="117">
        <v>8.4000000000000005E-2</v>
      </c>
      <c r="M37" s="117">
        <v>8.4000000000000005E-2</v>
      </c>
      <c r="N37" s="117">
        <v>8.4000000000000005E-2</v>
      </c>
      <c r="O37" s="117">
        <v>8.4000000000000005E-2</v>
      </c>
      <c r="P37" s="112"/>
      <c r="Q37" s="112"/>
      <c r="R37" s="112"/>
      <c r="S37" s="107">
        <f t="shared" ref="S37:S49" si="5">SUM(D37:R37)</f>
        <v>0.99999999999999989</v>
      </c>
    </row>
    <row r="38" spans="1:19" s="31" customFormat="1" ht="18" x14ac:dyDescent="0.2">
      <c r="A38" s="47"/>
      <c r="B38" s="65" t="str">
        <f>'Revenue Input'!B34</f>
        <v>8782</v>
      </c>
      <c r="C38" s="65" t="str">
        <f>'Revenue Input'!C34</f>
        <v>All Other Transfers from County Offices</v>
      </c>
      <c r="D38" s="117"/>
      <c r="E38" s="117"/>
      <c r="F38" s="117">
        <v>0.1</v>
      </c>
      <c r="G38" s="117">
        <v>0.1</v>
      </c>
      <c r="H38" s="117">
        <v>0.1</v>
      </c>
      <c r="I38" s="117">
        <v>0.1</v>
      </c>
      <c r="J38" s="117">
        <v>0.1</v>
      </c>
      <c r="K38" s="117">
        <v>0.1</v>
      </c>
      <c r="L38" s="117">
        <v>0.1</v>
      </c>
      <c r="M38" s="117">
        <v>0.1</v>
      </c>
      <c r="N38" s="117">
        <v>0.1</v>
      </c>
      <c r="O38" s="117">
        <v>0.1</v>
      </c>
      <c r="P38" s="112"/>
      <c r="Q38" s="112"/>
      <c r="R38" s="112"/>
      <c r="S38" s="107">
        <f t="shared" si="5"/>
        <v>0.99999999999999989</v>
      </c>
    </row>
    <row r="39" spans="1:19" s="31" customFormat="1" ht="18" x14ac:dyDescent="0.2">
      <c r="A39" s="47"/>
      <c r="B39" s="65" t="str">
        <f>'Revenue Input'!B35</f>
        <v>8784</v>
      </c>
      <c r="C39" s="65" t="str">
        <f>'Revenue Input'!C35</f>
        <v>All Other Transfers from Other Locations</v>
      </c>
      <c r="D39" s="117"/>
      <c r="E39" s="117"/>
      <c r="F39" s="117">
        <v>0.1</v>
      </c>
      <c r="G39" s="117">
        <v>0.1</v>
      </c>
      <c r="H39" s="117">
        <v>0.1</v>
      </c>
      <c r="I39" s="117">
        <v>0.1</v>
      </c>
      <c r="J39" s="117">
        <v>0.1</v>
      </c>
      <c r="K39" s="117">
        <v>0.1</v>
      </c>
      <c r="L39" s="117">
        <v>0.1</v>
      </c>
      <c r="M39" s="117">
        <v>0.1</v>
      </c>
      <c r="N39" s="117">
        <v>0.1</v>
      </c>
      <c r="O39" s="117">
        <v>0.1</v>
      </c>
      <c r="P39" s="112"/>
      <c r="Q39" s="112"/>
      <c r="R39" s="112"/>
      <c r="S39" s="107">
        <f t="shared" si="5"/>
        <v>0.99999999999999989</v>
      </c>
    </row>
    <row r="40" spans="1:19" s="31" customFormat="1" x14ac:dyDescent="0.2">
      <c r="A40" s="49"/>
      <c r="B40" s="65" t="str">
        <f>'Revenue Input'!B36</f>
        <v>8785</v>
      </c>
      <c r="C40" s="65" t="str">
        <f>'Revenue Input'!C36</f>
        <v>CMO Management fee</v>
      </c>
      <c r="D40" s="117"/>
      <c r="E40" s="117"/>
      <c r="F40" s="117">
        <v>0.1</v>
      </c>
      <c r="G40" s="117">
        <v>0.1</v>
      </c>
      <c r="H40" s="117">
        <v>0.1</v>
      </c>
      <c r="I40" s="117">
        <v>0.1</v>
      </c>
      <c r="J40" s="117">
        <v>0.1</v>
      </c>
      <c r="K40" s="117">
        <v>0.1</v>
      </c>
      <c r="L40" s="117">
        <v>0.1</v>
      </c>
      <c r="M40" s="117">
        <v>0.1</v>
      </c>
      <c r="N40" s="117">
        <v>0.1</v>
      </c>
      <c r="O40" s="117">
        <v>0.1</v>
      </c>
      <c r="P40" s="112"/>
      <c r="Q40" s="112"/>
      <c r="R40" s="112"/>
      <c r="S40" s="107">
        <f t="shared" si="5"/>
        <v>0.99999999999999989</v>
      </c>
    </row>
    <row r="41" spans="1:19" s="31" customFormat="1" x14ac:dyDescent="0.2">
      <c r="A41" s="50"/>
      <c r="B41" s="65" t="str">
        <f>'Revenue Input'!B37</f>
        <v>8792</v>
      </c>
      <c r="C41" s="65" t="str">
        <f>'Revenue Input'!C37</f>
        <v>Special Ed - AB 602</v>
      </c>
      <c r="D41" s="117"/>
      <c r="E41" s="117"/>
      <c r="F41" s="117">
        <v>0.1</v>
      </c>
      <c r="G41" s="117">
        <v>0.1</v>
      </c>
      <c r="H41" s="117">
        <v>0.1</v>
      </c>
      <c r="I41" s="117">
        <v>0.1</v>
      </c>
      <c r="J41" s="117">
        <v>0.1</v>
      </c>
      <c r="K41" s="117">
        <v>0.1</v>
      </c>
      <c r="L41" s="117">
        <v>0.1</v>
      </c>
      <c r="M41" s="117">
        <v>0.1</v>
      </c>
      <c r="N41" s="117">
        <v>0.1</v>
      </c>
      <c r="O41" s="117">
        <v>0.1</v>
      </c>
      <c r="P41" s="112"/>
      <c r="Q41" s="112"/>
      <c r="R41" s="112"/>
      <c r="S41" s="107">
        <f t="shared" si="5"/>
        <v>0.99999999999999989</v>
      </c>
    </row>
    <row r="42" spans="1:19" s="31" customFormat="1" ht="18" x14ac:dyDescent="0.2">
      <c r="A42" s="47"/>
      <c r="B42" s="65" t="str">
        <f>'Revenue Input'!B38</f>
        <v>8980</v>
      </c>
      <c r="C42" s="65" t="str">
        <f>'Revenue Input'!C38</f>
        <v>Student Lunch Revenue</v>
      </c>
      <c r="D42" s="117"/>
      <c r="E42" s="117"/>
      <c r="F42" s="117">
        <v>0.1</v>
      </c>
      <c r="G42" s="117">
        <v>0.1</v>
      </c>
      <c r="H42" s="117">
        <v>0.1</v>
      </c>
      <c r="I42" s="117">
        <v>0.1</v>
      </c>
      <c r="J42" s="117">
        <v>0.1</v>
      </c>
      <c r="K42" s="117">
        <v>0.1</v>
      </c>
      <c r="L42" s="117">
        <v>0.1</v>
      </c>
      <c r="M42" s="117">
        <v>0.1</v>
      </c>
      <c r="N42" s="117">
        <v>0.1</v>
      </c>
      <c r="O42" s="117">
        <v>0.1</v>
      </c>
      <c r="P42" s="112"/>
      <c r="Q42" s="112"/>
      <c r="R42" s="112"/>
      <c r="S42" s="107">
        <f t="shared" si="5"/>
        <v>0.99999999999999989</v>
      </c>
    </row>
    <row r="43" spans="1:19" s="31" customFormat="1" ht="18" x14ac:dyDescent="0.2">
      <c r="A43" s="47"/>
      <c r="B43" s="65" t="str">
        <f>'Revenue Input'!B39</f>
        <v>8982</v>
      </c>
      <c r="C43" s="65" t="str">
        <f>'Revenue Input'!C39</f>
        <v>Foundation Grants</v>
      </c>
      <c r="D43" s="117"/>
      <c r="E43" s="117"/>
      <c r="F43" s="117">
        <v>0.1</v>
      </c>
      <c r="G43" s="117">
        <v>0.1</v>
      </c>
      <c r="H43" s="117">
        <v>0.1</v>
      </c>
      <c r="I43" s="117">
        <v>0.1</v>
      </c>
      <c r="J43" s="117">
        <v>0.1</v>
      </c>
      <c r="K43" s="117">
        <v>0.1</v>
      </c>
      <c r="L43" s="117">
        <v>0.1</v>
      </c>
      <c r="M43" s="117">
        <v>0.1</v>
      </c>
      <c r="N43" s="117">
        <v>0.1</v>
      </c>
      <c r="O43" s="117">
        <v>0.1</v>
      </c>
      <c r="P43" s="112"/>
      <c r="Q43" s="112"/>
      <c r="R43" s="112"/>
      <c r="S43" s="107">
        <f t="shared" si="5"/>
        <v>0.99999999999999989</v>
      </c>
    </row>
    <row r="44" spans="1:19" s="31" customFormat="1" ht="18" x14ac:dyDescent="0.2">
      <c r="A44" s="47"/>
      <c r="B44" s="65" t="str">
        <f>'Revenue Input'!B40</f>
        <v>8983</v>
      </c>
      <c r="C44" s="65" t="str">
        <f>'Revenue Input'!C40</f>
        <v>All Other Local Revenue</v>
      </c>
      <c r="D44" s="117"/>
      <c r="E44" s="117"/>
      <c r="F44" s="117"/>
      <c r="G44" s="117"/>
      <c r="H44" s="117">
        <v>0.1</v>
      </c>
      <c r="I44" s="117">
        <v>0.1</v>
      </c>
      <c r="J44" s="117">
        <v>0.1</v>
      </c>
      <c r="K44" s="117">
        <v>0.1</v>
      </c>
      <c r="L44" s="117">
        <v>0.1</v>
      </c>
      <c r="M44" s="117">
        <v>0.1</v>
      </c>
      <c r="N44" s="117">
        <v>0.1</v>
      </c>
      <c r="O44" s="117">
        <v>0.1</v>
      </c>
      <c r="P44" s="112">
        <v>0.1</v>
      </c>
      <c r="Q44" s="112">
        <v>0.1</v>
      </c>
      <c r="R44" s="112"/>
      <c r="S44" s="107">
        <f t="shared" si="5"/>
        <v>0.99999999999999989</v>
      </c>
    </row>
    <row r="45" spans="1:19" s="31" customFormat="1" ht="18" x14ac:dyDescent="0.2">
      <c r="A45" s="47"/>
      <c r="B45" s="65" t="str">
        <f>'Revenue Input'!B41</f>
        <v>8984</v>
      </c>
      <c r="C45" s="65" t="str">
        <f>'Revenue Input'!C41</f>
        <v>Student Body (ASB) Fundraising Revenue</v>
      </c>
      <c r="D45" s="117"/>
      <c r="E45" s="117"/>
      <c r="F45" s="117">
        <v>0.1</v>
      </c>
      <c r="G45" s="117">
        <v>0.1</v>
      </c>
      <c r="H45" s="117">
        <v>0.1</v>
      </c>
      <c r="I45" s="117">
        <v>0.1</v>
      </c>
      <c r="J45" s="117">
        <v>0.1</v>
      </c>
      <c r="K45" s="117">
        <v>0.1</v>
      </c>
      <c r="L45" s="117">
        <v>0.1</v>
      </c>
      <c r="M45" s="117">
        <v>0.1</v>
      </c>
      <c r="N45" s="117">
        <v>0.1</v>
      </c>
      <c r="O45" s="117">
        <v>0.1</v>
      </c>
      <c r="P45" s="112"/>
      <c r="Q45" s="112"/>
      <c r="R45" s="112"/>
      <c r="S45" s="107">
        <f t="shared" si="5"/>
        <v>0.99999999999999989</v>
      </c>
    </row>
    <row r="46" spans="1:19" s="31" customFormat="1" ht="18" x14ac:dyDescent="0.2">
      <c r="A46" s="47"/>
      <c r="B46" s="65" t="str">
        <f>'Revenue Input'!B42</f>
        <v>8985</v>
      </c>
      <c r="C46" s="65" t="str">
        <f>'Revenue Input'!C42</f>
        <v>School Site Fundraising</v>
      </c>
      <c r="D46" s="117"/>
      <c r="E46" s="117"/>
      <c r="F46" s="117">
        <v>0.1</v>
      </c>
      <c r="G46" s="117">
        <v>0.1</v>
      </c>
      <c r="H46" s="117">
        <v>0.1</v>
      </c>
      <c r="I46" s="117">
        <v>0.1</v>
      </c>
      <c r="J46" s="117">
        <v>0.1</v>
      </c>
      <c r="K46" s="117">
        <v>0.1</v>
      </c>
      <c r="L46" s="117">
        <v>0.1</v>
      </c>
      <c r="M46" s="117">
        <v>0.1</v>
      </c>
      <c r="N46" s="117">
        <v>0.1</v>
      </c>
      <c r="O46" s="117">
        <v>0.1</v>
      </c>
      <c r="P46" s="112"/>
      <c r="Q46" s="112"/>
      <c r="R46" s="112"/>
      <c r="S46" s="107">
        <f>SUM(D46:R46)</f>
        <v>0.99999999999999989</v>
      </c>
    </row>
    <row r="47" spans="1:19" s="31" customFormat="1" ht="18" x14ac:dyDescent="0.2">
      <c r="A47" s="47"/>
      <c r="B47" s="65" t="str">
        <f>'Revenue Input'!B43</f>
        <v>8986</v>
      </c>
      <c r="C47" s="65" t="str">
        <f>'Revenue Input'!C43</f>
        <v>Rental Income</v>
      </c>
      <c r="D47" s="117"/>
      <c r="E47" s="117"/>
      <c r="F47" s="117">
        <v>0.1</v>
      </c>
      <c r="G47" s="117">
        <v>0.1</v>
      </c>
      <c r="H47" s="117">
        <v>0.1</v>
      </c>
      <c r="I47" s="117">
        <v>0.1</v>
      </c>
      <c r="J47" s="117">
        <v>0.1</v>
      </c>
      <c r="K47" s="117">
        <v>0.1</v>
      </c>
      <c r="L47" s="117">
        <v>0.1</v>
      </c>
      <c r="M47" s="117">
        <v>0.1</v>
      </c>
      <c r="N47" s="117">
        <v>0.1</v>
      </c>
      <c r="O47" s="117">
        <v>0.1</v>
      </c>
      <c r="P47" s="112"/>
      <c r="Q47" s="112"/>
      <c r="R47" s="112"/>
      <c r="S47" s="107">
        <f>SUM(D47:R47)</f>
        <v>0.99999999999999989</v>
      </c>
    </row>
    <row r="48" spans="1:19" s="31" customFormat="1" ht="18" x14ac:dyDescent="0.2">
      <c r="A48" s="47"/>
      <c r="B48" s="65" t="str">
        <f>'Revenue Input'!B44</f>
        <v>8989</v>
      </c>
      <c r="C48" s="65" t="str">
        <f>'Revenue Input'!C44</f>
        <v>Fees for Service</v>
      </c>
      <c r="D48" s="117"/>
      <c r="E48" s="117"/>
      <c r="F48" s="117">
        <v>0.1</v>
      </c>
      <c r="G48" s="117">
        <v>0.1</v>
      </c>
      <c r="H48" s="117">
        <v>0.1</v>
      </c>
      <c r="I48" s="117">
        <v>0.1</v>
      </c>
      <c r="J48" s="117">
        <v>0.1</v>
      </c>
      <c r="K48" s="117">
        <v>0.1</v>
      </c>
      <c r="L48" s="117">
        <v>0.1</v>
      </c>
      <c r="M48" s="117">
        <v>0.1</v>
      </c>
      <c r="N48" s="117">
        <v>0.1</v>
      </c>
      <c r="O48" s="117">
        <v>0.1</v>
      </c>
      <c r="P48" s="112"/>
      <c r="Q48" s="112"/>
      <c r="R48" s="112"/>
      <c r="S48" s="107">
        <f>SUM(D48:R48)</f>
        <v>0.99999999999999989</v>
      </c>
    </row>
    <row r="49" spans="1:19" s="31" customFormat="1" ht="18" x14ac:dyDescent="0.2">
      <c r="A49" s="47"/>
      <c r="B49" s="65" t="str">
        <f>'Revenue Input'!B45</f>
        <v>8999</v>
      </c>
      <c r="C49" s="65" t="str">
        <f>'Revenue Input'!C45</f>
        <v>Revenue Suspense</v>
      </c>
      <c r="D49" s="117"/>
      <c r="E49" s="117"/>
      <c r="F49" s="117">
        <v>0.1</v>
      </c>
      <c r="G49" s="117">
        <v>0.1</v>
      </c>
      <c r="H49" s="117">
        <v>0.1</v>
      </c>
      <c r="I49" s="117">
        <v>0.1</v>
      </c>
      <c r="J49" s="117">
        <v>0.1</v>
      </c>
      <c r="K49" s="117">
        <v>0.1</v>
      </c>
      <c r="L49" s="117">
        <v>0.1</v>
      </c>
      <c r="M49" s="117">
        <v>0.1</v>
      </c>
      <c r="N49" s="117">
        <v>0.1</v>
      </c>
      <c r="O49" s="117">
        <v>0.1</v>
      </c>
      <c r="P49" s="112"/>
      <c r="Q49" s="112"/>
      <c r="R49" s="112"/>
      <c r="S49" s="107">
        <f t="shared" si="5"/>
        <v>0.99999999999999989</v>
      </c>
    </row>
    <row r="50" spans="1:19" s="31" customFormat="1" ht="18" x14ac:dyDescent="0.2">
      <c r="A50" s="47"/>
      <c r="B50" s="72"/>
      <c r="C50" s="50"/>
      <c r="D50" s="119"/>
      <c r="E50" s="119"/>
      <c r="F50" s="119"/>
      <c r="G50" s="119"/>
      <c r="H50" s="119"/>
      <c r="I50" s="119"/>
      <c r="J50" s="119"/>
      <c r="K50" s="119"/>
      <c r="L50" s="119"/>
      <c r="M50" s="119"/>
      <c r="N50" s="119"/>
      <c r="O50" s="119"/>
      <c r="P50" s="100"/>
      <c r="Q50" s="100"/>
      <c r="R50" s="100"/>
      <c r="S50" s="107"/>
    </row>
    <row r="51" spans="1:19" s="31" customFormat="1" ht="18" x14ac:dyDescent="0.2">
      <c r="A51" s="47"/>
      <c r="B51" s="72"/>
      <c r="C51" s="50"/>
      <c r="D51" s="119"/>
      <c r="E51" s="119"/>
      <c r="F51" s="119"/>
      <c r="G51" s="119"/>
      <c r="H51" s="119"/>
      <c r="I51" s="119"/>
      <c r="J51" s="119"/>
      <c r="K51" s="119"/>
      <c r="L51" s="119"/>
      <c r="M51" s="119"/>
      <c r="N51" s="119"/>
      <c r="O51" s="119"/>
      <c r="P51" s="100"/>
      <c r="Q51" s="100"/>
      <c r="R51" s="100"/>
      <c r="S51" s="107"/>
    </row>
    <row r="52" spans="1:19" s="31" customFormat="1" ht="18" x14ac:dyDescent="0.2">
      <c r="A52" s="47"/>
      <c r="B52" s="72"/>
      <c r="C52" s="50"/>
      <c r="D52" s="100"/>
      <c r="E52" s="100"/>
      <c r="F52" s="100"/>
      <c r="G52" s="100"/>
      <c r="H52" s="100"/>
      <c r="I52" s="100"/>
      <c r="J52" s="100"/>
      <c r="K52" s="100"/>
      <c r="L52" s="100"/>
      <c r="M52" s="100"/>
      <c r="N52" s="100"/>
      <c r="O52" s="100"/>
      <c r="P52" s="100"/>
      <c r="Q52" s="100"/>
      <c r="R52" s="100"/>
    </row>
    <row r="53" spans="1:19" s="31" customFormat="1" ht="18" x14ac:dyDescent="0.2">
      <c r="A53" s="47" t="s">
        <v>802</v>
      </c>
      <c r="B53" s="73"/>
      <c r="C53" s="34"/>
      <c r="D53" s="101"/>
      <c r="E53" s="101"/>
      <c r="F53" s="101"/>
      <c r="G53" s="101"/>
      <c r="H53" s="101"/>
      <c r="I53" s="101"/>
      <c r="J53" s="101"/>
      <c r="K53" s="101"/>
      <c r="L53" s="101"/>
      <c r="M53" s="101"/>
      <c r="N53" s="101"/>
      <c r="O53" s="101"/>
      <c r="P53" s="101"/>
      <c r="Q53" s="101"/>
      <c r="R53" s="101"/>
    </row>
    <row r="54" spans="1:19" x14ac:dyDescent="0.2">
      <c r="A54" s="1"/>
      <c r="B54" s="34" t="s">
        <v>733</v>
      </c>
      <c r="C54" s="3"/>
    </row>
    <row r="55" spans="1:19" x14ac:dyDescent="0.2">
      <c r="A55" s="36"/>
      <c r="B55" s="67" t="str">
        <f>'Expenses Summary'!B8</f>
        <v>1100</v>
      </c>
      <c r="C55" s="67" t="str">
        <f>'Expenses Summary'!C8</f>
        <v>Teachers'  Salaries</v>
      </c>
      <c r="D55" s="112">
        <v>8.3000000000000004E-2</v>
      </c>
      <c r="E55" s="112">
        <v>8.3000000000000004E-2</v>
      </c>
      <c r="F55" s="112">
        <v>8.3000000000000004E-2</v>
      </c>
      <c r="G55" s="112">
        <v>8.3000000000000004E-2</v>
      </c>
      <c r="H55" s="112">
        <v>8.3000000000000004E-2</v>
      </c>
      <c r="I55" s="112">
        <v>8.3000000000000004E-2</v>
      </c>
      <c r="J55" s="112">
        <v>8.3000000000000004E-2</v>
      </c>
      <c r="K55" s="112">
        <v>8.3000000000000004E-2</v>
      </c>
      <c r="L55" s="112">
        <v>8.4000000000000005E-2</v>
      </c>
      <c r="M55" s="112">
        <v>8.4000000000000005E-2</v>
      </c>
      <c r="N55" s="112">
        <v>8.4000000000000005E-2</v>
      </c>
      <c r="O55" s="112">
        <v>8.4000000000000005E-2</v>
      </c>
      <c r="P55" s="112"/>
      <c r="Q55" s="99"/>
      <c r="R55" s="99"/>
      <c r="S55" s="301">
        <f t="shared" ref="S55:S62" si="6">SUM(D55:R55)</f>
        <v>0.99999999999999989</v>
      </c>
    </row>
    <row r="56" spans="1:19" x14ac:dyDescent="0.2">
      <c r="A56" s="36"/>
      <c r="B56" s="67" t="str">
        <f>'Expenses Summary'!B9</f>
        <v>1105</v>
      </c>
      <c r="C56" s="67" t="str">
        <f>'Expenses Summary'!C9</f>
        <v>Teachers'  Bonuses</v>
      </c>
      <c r="D56" s="112"/>
      <c r="E56" s="112"/>
      <c r="F56" s="112"/>
      <c r="G56" s="112"/>
      <c r="H56" s="112"/>
      <c r="I56" s="112">
        <v>1</v>
      </c>
      <c r="J56" s="112"/>
      <c r="K56" s="112"/>
      <c r="L56" s="112"/>
      <c r="M56" s="112"/>
      <c r="N56" s="112"/>
      <c r="O56" s="112"/>
      <c r="P56" s="99"/>
      <c r="Q56" s="99"/>
      <c r="R56" s="99"/>
      <c r="S56" s="301">
        <f t="shared" si="6"/>
        <v>1</v>
      </c>
    </row>
    <row r="57" spans="1:19" x14ac:dyDescent="0.2">
      <c r="A57" s="36"/>
      <c r="B57" s="67" t="str">
        <f>'Expenses Summary'!B10</f>
        <v>1120</v>
      </c>
      <c r="C57" s="67" t="str">
        <f>'Expenses Summary'!C10</f>
        <v>Substitute Expense</v>
      </c>
      <c r="D57" s="112">
        <v>0</v>
      </c>
      <c r="E57" s="112">
        <v>0</v>
      </c>
      <c r="F57" s="117">
        <v>0.1</v>
      </c>
      <c r="G57" s="117">
        <v>0.1</v>
      </c>
      <c r="H57" s="117">
        <v>0.1</v>
      </c>
      <c r="I57" s="117">
        <v>0.1</v>
      </c>
      <c r="J57" s="117">
        <v>0.1</v>
      </c>
      <c r="K57" s="117">
        <v>0.1</v>
      </c>
      <c r="L57" s="117">
        <v>0.1</v>
      </c>
      <c r="M57" s="117">
        <v>0.1</v>
      </c>
      <c r="N57" s="117">
        <v>0.1</v>
      </c>
      <c r="O57" s="117">
        <v>0.1</v>
      </c>
      <c r="P57" s="99"/>
      <c r="Q57" s="99"/>
      <c r="R57" s="99"/>
      <c r="S57" s="301">
        <f t="shared" si="6"/>
        <v>0.99999999999999989</v>
      </c>
    </row>
    <row r="58" spans="1:19" x14ac:dyDescent="0.2">
      <c r="A58" s="36"/>
      <c r="B58" s="67" t="str">
        <f>'Expenses Summary'!B11</f>
        <v>1200</v>
      </c>
      <c r="C58" s="67" t="str">
        <f>'Expenses Summary'!C11</f>
        <v>Certificated Pupil Support Salaries</v>
      </c>
      <c r="D58" s="112">
        <v>0</v>
      </c>
      <c r="E58" s="112">
        <v>0</v>
      </c>
      <c r="F58" s="117">
        <v>0.1</v>
      </c>
      <c r="G58" s="117">
        <v>0.1</v>
      </c>
      <c r="H58" s="117">
        <v>0.1</v>
      </c>
      <c r="I58" s="117">
        <v>0.1</v>
      </c>
      <c r="J58" s="117">
        <v>0.1</v>
      </c>
      <c r="K58" s="117">
        <v>0.1</v>
      </c>
      <c r="L58" s="117">
        <v>0.1</v>
      </c>
      <c r="M58" s="117">
        <v>0.1</v>
      </c>
      <c r="N58" s="117">
        <v>0.1</v>
      </c>
      <c r="O58" s="117">
        <v>0.1</v>
      </c>
      <c r="P58" s="99"/>
      <c r="Q58" s="99"/>
      <c r="R58" s="99"/>
      <c r="S58" s="301">
        <f t="shared" si="6"/>
        <v>0.99999999999999989</v>
      </c>
    </row>
    <row r="59" spans="1:19" x14ac:dyDescent="0.2">
      <c r="A59" s="36"/>
      <c r="B59" s="67" t="str">
        <f>'Expenses Summary'!B13</f>
        <v>1300</v>
      </c>
      <c r="C59" s="67" t="str">
        <f>'Expenses Summary'!C13</f>
        <v>Certificated Supervisor and Administrator Salaries</v>
      </c>
      <c r="D59" s="117">
        <v>8.3000000000000004E-2</v>
      </c>
      <c r="E59" s="117">
        <v>8.3000000000000004E-2</v>
      </c>
      <c r="F59" s="117">
        <v>8.3000000000000004E-2</v>
      </c>
      <c r="G59" s="117">
        <v>8.3000000000000004E-2</v>
      </c>
      <c r="H59" s="117">
        <v>8.3000000000000004E-2</v>
      </c>
      <c r="I59" s="117">
        <v>8.3000000000000004E-2</v>
      </c>
      <c r="J59" s="117">
        <v>8.3000000000000004E-2</v>
      </c>
      <c r="K59" s="117">
        <v>8.3000000000000004E-2</v>
      </c>
      <c r="L59" s="117">
        <v>8.4000000000000005E-2</v>
      </c>
      <c r="M59" s="117">
        <v>8.4000000000000005E-2</v>
      </c>
      <c r="N59" s="117">
        <v>8.4000000000000005E-2</v>
      </c>
      <c r="O59" s="117">
        <v>8.4000000000000005E-2</v>
      </c>
      <c r="P59" s="99"/>
      <c r="Q59" s="99"/>
      <c r="R59" s="99"/>
      <c r="S59" s="301">
        <f t="shared" si="6"/>
        <v>0.99999999999999989</v>
      </c>
    </row>
    <row r="60" spans="1:19" x14ac:dyDescent="0.2">
      <c r="A60" s="36"/>
      <c r="B60" s="67" t="str">
        <f>'Expenses Summary'!B14</f>
        <v>1305</v>
      </c>
      <c r="C60" s="67" t="str">
        <f>'Expenses Summary'!C14</f>
        <v>Certificated Supervisor and Administrator Bonuses</v>
      </c>
      <c r="D60" s="99"/>
      <c r="E60" s="99"/>
      <c r="F60" s="99"/>
      <c r="G60" s="99"/>
      <c r="H60" s="99"/>
      <c r="I60" s="99">
        <v>1</v>
      </c>
      <c r="J60" s="99"/>
      <c r="K60" s="99"/>
      <c r="L60" s="99"/>
      <c r="M60" s="99"/>
      <c r="N60" s="99"/>
      <c r="O60" s="99"/>
      <c r="P60" s="99"/>
      <c r="Q60" s="99"/>
      <c r="R60" s="99"/>
      <c r="S60" s="301">
        <f t="shared" si="6"/>
        <v>1</v>
      </c>
    </row>
    <row r="61" spans="1:19" x14ac:dyDescent="0.2">
      <c r="A61" s="36"/>
      <c r="B61" s="67" t="str">
        <f>'Expenses Summary'!B15</f>
        <v>1900</v>
      </c>
      <c r="C61" s="67" t="str">
        <f>'Expenses Summary'!C15</f>
        <v>Other Certificated Salaries</v>
      </c>
      <c r="D61" s="112">
        <v>0</v>
      </c>
      <c r="E61" s="112">
        <v>9.1666666666666702E-2</v>
      </c>
      <c r="F61" s="112">
        <v>9.1666666666666702E-2</v>
      </c>
      <c r="G61" s="112">
        <v>9.1666666666666702E-2</v>
      </c>
      <c r="H61" s="112">
        <v>9.1666666666666702E-2</v>
      </c>
      <c r="I61" s="112">
        <v>9.1666666666666702E-2</v>
      </c>
      <c r="J61" s="112">
        <v>9.1666666666666702E-2</v>
      </c>
      <c r="K61" s="112">
        <v>9.1666666666666702E-2</v>
      </c>
      <c r="L61" s="112">
        <v>9.1666666666666702E-2</v>
      </c>
      <c r="M61" s="112">
        <v>9.1666666666666702E-2</v>
      </c>
      <c r="N61" s="112">
        <v>9.1666666666666702E-2</v>
      </c>
      <c r="O61" s="112">
        <v>8.3333333332999998E-2</v>
      </c>
      <c r="P61" s="99"/>
      <c r="Q61" s="99"/>
      <c r="R61" s="99"/>
      <c r="S61" s="301">
        <f t="shared" si="6"/>
        <v>0.99999999999966682</v>
      </c>
    </row>
    <row r="62" spans="1:19" x14ac:dyDescent="0.2">
      <c r="A62" s="36"/>
      <c r="B62" s="67" t="str">
        <f>'Expenses Summary'!B16</f>
        <v>1910</v>
      </c>
      <c r="C62" s="67" t="str">
        <f>'Expenses Summary'!C16</f>
        <v>Other Certificated Overtime</v>
      </c>
      <c r="D62" s="112">
        <v>0</v>
      </c>
      <c r="E62" s="112">
        <v>9.1666666666666702E-2</v>
      </c>
      <c r="F62" s="112">
        <v>9.1666666666666702E-2</v>
      </c>
      <c r="G62" s="112">
        <v>9.1666666666666702E-2</v>
      </c>
      <c r="H62" s="112">
        <v>9.1666666666666702E-2</v>
      </c>
      <c r="I62" s="112">
        <v>9.1666666666666702E-2</v>
      </c>
      <c r="J62" s="112">
        <v>9.1666666666666702E-2</v>
      </c>
      <c r="K62" s="112">
        <v>9.1666666666666702E-2</v>
      </c>
      <c r="L62" s="112">
        <v>9.1666666666666702E-2</v>
      </c>
      <c r="M62" s="112">
        <v>9.1666666666666702E-2</v>
      </c>
      <c r="N62" s="112">
        <v>9.1666666666666702E-2</v>
      </c>
      <c r="O62" s="112">
        <v>8.3333333332999998E-2</v>
      </c>
      <c r="P62" s="99"/>
      <c r="Q62" s="99"/>
      <c r="R62" s="99"/>
      <c r="S62" s="301">
        <f t="shared" si="6"/>
        <v>0.99999999999966682</v>
      </c>
    </row>
    <row r="63" spans="1:19" x14ac:dyDescent="0.2">
      <c r="A63" s="36"/>
      <c r="B63" s="88"/>
      <c r="C63" s="93"/>
      <c r="D63" s="100"/>
      <c r="E63" s="100"/>
      <c r="F63" s="119"/>
      <c r="G63" s="119"/>
      <c r="H63" s="119"/>
      <c r="I63" s="119"/>
      <c r="J63" s="119"/>
      <c r="K63" s="119"/>
      <c r="L63" s="119"/>
      <c r="M63" s="119"/>
      <c r="N63" s="119"/>
      <c r="O63" s="119"/>
      <c r="P63" s="100"/>
      <c r="Q63" s="100"/>
      <c r="R63" s="100"/>
      <c r="S63" s="301"/>
    </row>
    <row r="64" spans="1:19" s="31" customFormat="1" x14ac:dyDescent="0.2">
      <c r="A64" s="36"/>
      <c r="B64" s="40"/>
      <c r="C64" s="3"/>
      <c r="D64" s="102"/>
      <c r="E64" s="102"/>
      <c r="F64" s="102"/>
      <c r="G64" s="102"/>
      <c r="H64" s="102"/>
      <c r="I64" s="102"/>
      <c r="J64" s="102"/>
      <c r="K64" s="102"/>
      <c r="L64" s="102"/>
      <c r="M64" s="102"/>
      <c r="N64" s="102"/>
      <c r="O64" s="102"/>
      <c r="P64" s="102"/>
      <c r="Q64" s="102"/>
      <c r="R64" s="102"/>
      <c r="S64" s="301"/>
    </row>
    <row r="65" spans="1:19" s="31" customFormat="1" x14ac:dyDescent="0.2">
      <c r="B65" s="5" t="s">
        <v>734</v>
      </c>
      <c r="C65" s="3"/>
      <c r="D65" s="102"/>
      <c r="E65" s="102"/>
      <c r="F65" s="102"/>
      <c r="G65" s="102"/>
      <c r="H65" s="102"/>
      <c r="I65" s="102"/>
      <c r="J65" s="102"/>
      <c r="K65" s="102"/>
      <c r="L65" s="102"/>
      <c r="M65" s="102"/>
      <c r="N65" s="102"/>
      <c r="O65" s="102"/>
      <c r="P65" s="102"/>
      <c r="Q65" s="102"/>
      <c r="R65" s="102"/>
      <c r="S65" s="301"/>
    </row>
    <row r="66" spans="1:19" s="31" customFormat="1" x14ac:dyDescent="0.2">
      <c r="A66" s="36"/>
      <c r="B66" s="67" t="str">
        <f>'Expenses Summary'!B20</f>
        <v>2100</v>
      </c>
      <c r="C66" s="67" t="str">
        <f>'Expenses Summary'!C20</f>
        <v>Instructional Aide Salaries</v>
      </c>
      <c r="D66" s="112">
        <v>0</v>
      </c>
      <c r="E66" s="112">
        <v>0</v>
      </c>
      <c r="F66" s="117">
        <v>0.1</v>
      </c>
      <c r="G66" s="117">
        <v>0.1</v>
      </c>
      <c r="H66" s="117">
        <v>0.1</v>
      </c>
      <c r="I66" s="117">
        <v>0.1</v>
      </c>
      <c r="J66" s="117">
        <v>0.1</v>
      </c>
      <c r="K66" s="117">
        <v>0.1</v>
      </c>
      <c r="L66" s="117">
        <v>0.1</v>
      </c>
      <c r="M66" s="117">
        <v>0.1</v>
      </c>
      <c r="N66" s="117">
        <v>0.1</v>
      </c>
      <c r="O66" s="117">
        <v>0.1</v>
      </c>
      <c r="P66" s="99"/>
      <c r="Q66" s="99"/>
      <c r="R66" s="99"/>
      <c r="S66" s="301">
        <f t="shared" ref="S66:S75" si="7">SUM(D66:R66)</f>
        <v>0.99999999999999989</v>
      </c>
    </row>
    <row r="67" spans="1:19" s="31" customFormat="1" x14ac:dyDescent="0.2">
      <c r="A67" s="36"/>
      <c r="B67" s="67" t="str">
        <f>'Expenses Summary'!B21</f>
        <v>2110</v>
      </c>
      <c r="C67" s="67" t="str">
        <f>'Expenses Summary'!C21</f>
        <v>Instructional Aide Overtime</v>
      </c>
      <c r="D67" s="112">
        <v>0</v>
      </c>
      <c r="E67" s="112">
        <v>0</v>
      </c>
      <c r="F67" s="117">
        <v>0.1</v>
      </c>
      <c r="G67" s="117">
        <v>0.1</v>
      </c>
      <c r="H67" s="117">
        <v>0.1</v>
      </c>
      <c r="I67" s="117">
        <v>0.1</v>
      </c>
      <c r="J67" s="117">
        <v>0.1</v>
      </c>
      <c r="K67" s="117">
        <v>0.1</v>
      </c>
      <c r="L67" s="117">
        <v>0.1</v>
      </c>
      <c r="M67" s="117">
        <v>0.1</v>
      </c>
      <c r="N67" s="117">
        <v>0.1</v>
      </c>
      <c r="O67" s="117">
        <v>0.1</v>
      </c>
      <c r="P67" s="99"/>
      <c r="Q67" s="99"/>
      <c r="R67" s="99"/>
      <c r="S67" s="301">
        <f t="shared" si="7"/>
        <v>0.99999999999999989</v>
      </c>
    </row>
    <row r="68" spans="1:19" s="31" customFormat="1" x14ac:dyDescent="0.2">
      <c r="A68" s="36"/>
      <c r="B68" s="67" t="str">
        <f>'Expenses Summary'!B22</f>
        <v>2200</v>
      </c>
      <c r="C68" s="67" t="str">
        <f>'Expenses Summary'!C22</f>
        <v>Classified Support Salaries</v>
      </c>
      <c r="D68" s="112">
        <v>0</v>
      </c>
      <c r="E68" s="112">
        <v>0</v>
      </c>
      <c r="F68" s="117">
        <v>0.1</v>
      </c>
      <c r="G68" s="117">
        <v>0.1</v>
      </c>
      <c r="H68" s="117">
        <v>0.1</v>
      </c>
      <c r="I68" s="117">
        <v>0.1</v>
      </c>
      <c r="J68" s="117">
        <v>0.1</v>
      </c>
      <c r="K68" s="117">
        <v>0.1</v>
      </c>
      <c r="L68" s="117">
        <v>0.1</v>
      </c>
      <c r="M68" s="117">
        <v>0.1</v>
      </c>
      <c r="N68" s="117">
        <v>0.1</v>
      </c>
      <c r="O68" s="117">
        <v>0.1</v>
      </c>
      <c r="P68" s="99"/>
      <c r="Q68" s="99"/>
      <c r="R68" s="99"/>
      <c r="S68" s="301">
        <f t="shared" si="7"/>
        <v>0.99999999999999989</v>
      </c>
    </row>
    <row r="69" spans="1:19" s="31" customFormat="1" x14ac:dyDescent="0.2">
      <c r="A69" s="36"/>
      <c r="B69" s="67" t="str">
        <f>'Expenses Summary'!B23</f>
        <v>2210</v>
      </c>
      <c r="C69" s="67" t="str">
        <f>'Expenses Summary'!C23</f>
        <v>Classified Support Overtime</v>
      </c>
      <c r="D69" s="112">
        <v>0</v>
      </c>
      <c r="E69" s="112">
        <v>0</v>
      </c>
      <c r="F69" s="117">
        <v>0.1</v>
      </c>
      <c r="G69" s="117">
        <v>0.1</v>
      </c>
      <c r="H69" s="117">
        <v>0.1</v>
      </c>
      <c r="I69" s="117">
        <v>0.1</v>
      </c>
      <c r="J69" s="117">
        <v>0.1</v>
      </c>
      <c r="K69" s="117">
        <v>0.1</v>
      </c>
      <c r="L69" s="117">
        <v>0.1</v>
      </c>
      <c r="M69" s="117">
        <v>0.1</v>
      </c>
      <c r="N69" s="117">
        <v>0.1</v>
      </c>
      <c r="O69" s="117">
        <v>0.1</v>
      </c>
      <c r="P69" s="99"/>
      <c r="Q69" s="99"/>
      <c r="R69" s="99"/>
      <c r="S69" s="301">
        <f t="shared" si="7"/>
        <v>0.99999999999999989</v>
      </c>
    </row>
    <row r="70" spans="1:19" s="31" customFormat="1" x14ac:dyDescent="0.2">
      <c r="A70" s="36"/>
      <c r="B70" s="67" t="str">
        <f>'Expenses Summary'!B24</f>
        <v>2300</v>
      </c>
      <c r="C70" s="67" t="str">
        <f>'Expenses Summary'!C24</f>
        <v>Classified Supervisor and Administrator Salaries</v>
      </c>
      <c r="D70" s="112">
        <v>0</v>
      </c>
      <c r="E70" s="112">
        <v>0</v>
      </c>
      <c r="F70" s="117">
        <v>0.1</v>
      </c>
      <c r="G70" s="117">
        <v>0.1</v>
      </c>
      <c r="H70" s="117">
        <v>0.1</v>
      </c>
      <c r="I70" s="117">
        <v>0.1</v>
      </c>
      <c r="J70" s="117">
        <v>0.1</v>
      </c>
      <c r="K70" s="117">
        <v>0.1</v>
      </c>
      <c r="L70" s="117">
        <v>0.1</v>
      </c>
      <c r="M70" s="117">
        <v>0.1</v>
      </c>
      <c r="N70" s="117">
        <v>0.1</v>
      </c>
      <c r="O70" s="117">
        <v>0.1</v>
      </c>
      <c r="P70" s="99"/>
      <c r="Q70" s="99"/>
      <c r="R70" s="99"/>
      <c r="S70" s="301">
        <f t="shared" si="7"/>
        <v>0.99999999999999989</v>
      </c>
    </row>
    <row r="71" spans="1:19" s="31" customFormat="1" x14ac:dyDescent="0.2">
      <c r="A71" s="36"/>
      <c r="B71" s="67" t="str">
        <f>'Expenses Summary'!B25</f>
        <v>2400</v>
      </c>
      <c r="C71" s="67" t="str">
        <f>'Expenses Summary'!C25</f>
        <v>Clerical, Technical, and Office Staff Salaries</v>
      </c>
      <c r="D71" s="112">
        <v>0</v>
      </c>
      <c r="E71" s="112">
        <v>0</v>
      </c>
      <c r="F71" s="117">
        <v>0.1</v>
      </c>
      <c r="G71" s="117">
        <v>0.1</v>
      </c>
      <c r="H71" s="117">
        <v>0.1</v>
      </c>
      <c r="I71" s="117">
        <v>0.1</v>
      </c>
      <c r="J71" s="117">
        <v>0.1</v>
      </c>
      <c r="K71" s="117">
        <v>0.1</v>
      </c>
      <c r="L71" s="117">
        <v>0.1</v>
      </c>
      <c r="M71" s="117">
        <v>0.1</v>
      </c>
      <c r="N71" s="117">
        <v>0.1</v>
      </c>
      <c r="O71" s="117">
        <v>0.1</v>
      </c>
      <c r="P71" s="99"/>
      <c r="Q71" s="99"/>
      <c r="R71" s="99"/>
      <c r="S71" s="301">
        <f t="shared" si="7"/>
        <v>0.99999999999999989</v>
      </c>
    </row>
    <row r="72" spans="1:19" s="31" customFormat="1" x14ac:dyDescent="0.2">
      <c r="A72" s="36"/>
      <c r="B72" s="67" t="str">
        <f>'Expenses Summary'!B26</f>
        <v>2410</v>
      </c>
      <c r="C72" s="67" t="str">
        <f>'Expenses Summary'!C26</f>
        <v>Clerical, Technical, and Office Staff Overtime</v>
      </c>
      <c r="D72" s="112">
        <v>0</v>
      </c>
      <c r="E72" s="112">
        <v>0</v>
      </c>
      <c r="F72" s="112">
        <v>0</v>
      </c>
      <c r="G72" s="112">
        <v>0</v>
      </c>
      <c r="H72" s="112">
        <v>0</v>
      </c>
      <c r="I72" s="112">
        <v>1</v>
      </c>
      <c r="J72" s="112">
        <v>0</v>
      </c>
      <c r="K72" s="112">
        <v>0</v>
      </c>
      <c r="L72" s="112">
        <v>0</v>
      </c>
      <c r="M72" s="112">
        <v>0</v>
      </c>
      <c r="N72" s="112">
        <v>0</v>
      </c>
      <c r="O72" s="112">
        <v>0</v>
      </c>
      <c r="P72" s="99"/>
      <c r="Q72" s="99"/>
      <c r="R72" s="99"/>
      <c r="S72" s="301">
        <f t="shared" si="7"/>
        <v>1</v>
      </c>
    </row>
    <row r="73" spans="1:19" s="31" customFormat="1" x14ac:dyDescent="0.2">
      <c r="A73" s="36"/>
      <c r="B73" s="67" t="str">
        <f>'Expenses Summary'!B27</f>
        <v>2900</v>
      </c>
      <c r="C73" s="67" t="str">
        <f>'Expenses Summary'!C27</f>
        <v>Other Classified Salaries</v>
      </c>
      <c r="D73" s="112">
        <v>0.1</v>
      </c>
      <c r="E73" s="112">
        <v>0.1</v>
      </c>
      <c r="F73" s="117">
        <v>0.1</v>
      </c>
      <c r="G73" s="117">
        <v>0.1</v>
      </c>
      <c r="H73" s="117">
        <v>0.1</v>
      </c>
      <c r="I73" s="117">
        <v>0.1</v>
      </c>
      <c r="J73" s="117">
        <v>0.1</v>
      </c>
      <c r="K73" s="117">
        <v>0.1</v>
      </c>
      <c r="L73" s="117">
        <v>0.1</v>
      </c>
      <c r="M73" s="117">
        <v>0.1</v>
      </c>
      <c r="N73" s="117">
        <v>0</v>
      </c>
      <c r="O73" s="117">
        <v>0</v>
      </c>
      <c r="P73" s="99"/>
      <c r="Q73" s="99"/>
      <c r="R73" s="99"/>
      <c r="S73" s="301">
        <f t="shared" si="7"/>
        <v>0.99999999999999989</v>
      </c>
    </row>
    <row r="74" spans="1:19" s="31" customFormat="1" x14ac:dyDescent="0.2">
      <c r="A74" s="36"/>
      <c r="B74" s="67" t="str">
        <f>'Expenses Summary'!B28</f>
        <v>2905</v>
      </c>
      <c r="C74" s="67" t="str">
        <f>'Expenses Summary'!C28</f>
        <v>Other Stipends</v>
      </c>
      <c r="D74" s="112">
        <v>0</v>
      </c>
      <c r="E74" s="112">
        <v>0</v>
      </c>
      <c r="F74" s="117">
        <v>0.1</v>
      </c>
      <c r="G74" s="117">
        <v>0.1</v>
      </c>
      <c r="H74" s="117">
        <v>0.1</v>
      </c>
      <c r="I74" s="117">
        <v>0.1</v>
      </c>
      <c r="J74" s="117">
        <v>0.1</v>
      </c>
      <c r="K74" s="117">
        <v>0.1</v>
      </c>
      <c r="L74" s="117">
        <v>0.1</v>
      </c>
      <c r="M74" s="117">
        <v>0.1</v>
      </c>
      <c r="N74" s="117">
        <v>0.1</v>
      </c>
      <c r="O74" s="117">
        <v>0.1</v>
      </c>
      <c r="P74" s="99"/>
      <c r="Q74" s="99"/>
      <c r="R74" s="99"/>
      <c r="S74" s="301">
        <f t="shared" si="7"/>
        <v>0.99999999999999989</v>
      </c>
    </row>
    <row r="75" spans="1:19" s="31" customFormat="1" x14ac:dyDescent="0.2">
      <c r="A75" s="36"/>
      <c r="B75" s="67" t="str">
        <f>'Expenses Summary'!B29</f>
        <v>2910</v>
      </c>
      <c r="C75" s="67" t="str">
        <f>'Expenses Summary'!C29</f>
        <v>Other Classified Overtime</v>
      </c>
      <c r="D75" s="112">
        <v>0</v>
      </c>
      <c r="E75" s="112">
        <v>0</v>
      </c>
      <c r="F75" s="117">
        <v>0.1</v>
      </c>
      <c r="G75" s="117">
        <v>0.1</v>
      </c>
      <c r="H75" s="117">
        <v>0.1</v>
      </c>
      <c r="I75" s="117">
        <v>0.1</v>
      </c>
      <c r="J75" s="117">
        <v>0.1</v>
      </c>
      <c r="K75" s="117">
        <v>0.1</v>
      </c>
      <c r="L75" s="117">
        <v>0.1</v>
      </c>
      <c r="M75" s="117">
        <v>0.1</v>
      </c>
      <c r="N75" s="117">
        <v>0.1</v>
      </c>
      <c r="O75" s="117">
        <v>0.1</v>
      </c>
      <c r="P75" s="99"/>
      <c r="Q75" s="99"/>
      <c r="R75" s="99"/>
      <c r="S75" s="301">
        <f t="shared" si="7"/>
        <v>0.99999999999999989</v>
      </c>
    </row>
    <row r="76" spans="1:19" s="31" customFormat="1" x14ac:dyDescent="0.2">
      <c r="A76" s="36"/>
      <c r="B76" s="88"/>
      <c r="C76" s="93"/>
      <c r="D76" s="100"/>
      <c r="E76" s="100"/>
      <c r="F76" s="119"/>
      <c r="G76" s="119"/>
      <c r="H76" s="119"/>
      <c r="I76" s="119"/>
      <c r="J76" s="119"/>
      <c r="K76" s="119"/>
      <c r="L76" s="119"/>
      <c r="M76" s="119"/>
      <c r="N76" s="119"/>
      <c r="O76" s="119"/>
      <c r="P76" s="100"/>
      <c r="Q76" s="100"/>
      <c r="R76" s="100"/>
      <c r="S76" s="301"/>
    </row>
    <row r="77" spans="1:19" s="31" customFormat="1" x14ac:dyDescent="0.2">
      <c r="A77" s="36"/>
      <c r="B77" s="40"/>
      <c r="C77" s="3"/>
      <c r="D77" s="102"/>
      <c r="E77" s="102"/>
      <c r="F77" s="102"/>
      <c r="G77" s="102"/>
      <c r="H77" s="102"/>
      <c r="I77" s="102"/>
      <c r="J77" s="102"/>
      <c r="K77" s="102"/>
      <c r="L77" s="102"/>
      <c r="M77" s="102"/>
      <c r="N77" s="102"/>
      <c r="O77" s="102"/>
      <c r="P77" s="102"/>
      <c r="Q77" s="102"/>
      <c r="R77" s="102"/>
      <c r="S77" s="301"/>
    </row>
    <row r="78" spans="1:19" s="31" customFormat="1" x14ac:dyDescent="0.2">
      <c r="B78" s="34" t="s">
        <v>735</v>
      </c>
      <c r="C78" s="3"/>
      <c r="D78" s="102"/>
      <c r="E78" s="102"/>
      <c r="F78" s="102"/>
      <c r="G78" s="102"/>
      <c r="H78" s="102"/>
      <c r="I78" s="102"/>
      <c r="J78" s="102"/>
      <c r="K78" s="102"/>
      <c r="L78" s="102"/>
      <c r="M78" s="102"/>
      <c r="N78" s="102"/>
      <c r="O78" s="102"/>
      <c r="P78" s="102"/>
      <c r="Q78" s="102"/>
      <c r="R78" s="102"/>
      <c r="S78" s="301"/>
    </row>
    <row r="79" spans="1:19" s="31" customFormat="1" x14ac:dyDescent="0.2">
      <c r="A79" s="36"/>
      <c r="B79" s="67" t="str">
        <f>'Expenses Summary'!B33</f>
        <v>3101</v>
      </c>
      <c r="C79" s="67" t="str">
        <f>'Expenses Summary'!C33</f>
        <v>State Teachers' Retirement System, certificated positions</v>
      </c>
      <c r="D79" s="99">
        <v>8.3000000000000004E-2</v>
      </c>
      <c r="E79" s="99">
        <v>8.3000000000000004E-2</v>
      </c>
      <c r="F79" s="113">
        <v>8.3000000000000004E-2</v>
      </c>
      <c r="G79" s="113">
        <v>8.3000000000000004E-2</v>
      </c>
      <c r="H79" s="113">
        <v>8.3000000000000004E-2</v>
      </c>
      <c r="I79" s="113">
        <v>8.3000000000000004E-2</v>
      </c>
      <c r="J79" s="113">
        <v>8.3000000000000004E-2</v>
      </c>
      <c r="K79" s="113">
        <v>8.3000000000000004E-2</v>
      </c>
      <c r="L79" s="113">
        <v>8.4000000000000005E-2</v>
      </c>
      <c r="M79" s="113">
        <v>8.4000000000000005E-2</v>
      </c>
      <c r="N79" s="113">
        <v>8.4000000000000005E-2</v>
      </c>
      <c r="O79" s="113">
        <v>8.4000000000000005E-2</v>
      </c>
      <c r="P79" s="99"/>
      <c r="Q79" s="99"/>
      <c r="R79" s="99"/>
      <c r="S79" s="301">
        <f t="shared" ref="S79:S87" si="8">SUM(D79:R79)</f>
        <v>0.99999999999999989</v>
      </c>
    </row>
    <row r="80" spans="1:19" s="31" customFormat="1" x14ac:dyDescent="0.2">
      <c r="A80" s="36"/>
      <c r="B80" s="67" t="str">
        <f>'Expenses Summary'!B34</f>
        <v>3202</v>
      </c>
      <c r="C80" s="67" t="str">
        <f>'Expenses Summary'!C34</f>
        <v>Public Employees' Retirement System, classified positions</v>
      </c>
      <c r="D80" s="99">
        <v>8.3000000000000004E-2</v>
      </c>
      <c r="E80" s="99">
        <v>8.3000000000000004E-2</v>
      </c>
      <c r="F80" s="113">
        <v>8.3000000000000004E-2</v>
      </c>
      <c r="G80" s="113">
        <v>8.3000000000000004E-2</v>
      </c>
      <c r="H80" s="113">
        <v>8.3000000000000004E-2</v>
      </c>
      <c r="I80" s="113">
        <v>8.3000000000000004E-2</v>
      </c>
      <c r="J80" s="113">
        <v>8.3000000000000004E-2</v>
      </c>
      <c r="K80" s="113">
        <v>8.3000000000000004E-2</v>
      </c>
      <c r="L80" s="113">
        <v>8.4000000000000005E-2</v>
      </c>
      <c r="M80" s="113">
        <v>8.4000000000000005E-2</v>
      </c>
      <c r="N80" s="113">
        <v>8.4000000000000005E-2</v>
      </c>
      <c r="O80" s="113">
        <v>8.4000000000000005E-2</v>
      </c>
      <c r="P80" s="99"/>
      <c r="Q80" s="99"/>
      <c r="R80" s="99"/>
      <c r="S80" s="301">
        <f t="shared" si="8"/>
        <v>0.99999999999999989</v>
      </c>
    </row>
    <row r="81" spans="1:19" s="31" customFormat="1" x14ac:dyDescent="0.2">
      <c r="A81" s="36"/>
      <c r="B81" s="67" t="str">
        <f>'Expenses Summary'!B35</f>
        <v>3313</v>
      </c>
      <c r="C81" s="67" t="str">
        <f>'Expenses Summary'!C35</f>
        <v>OASDI</v>
      </c>
      <c r="D81" s="99">
        <v>8.3000000000000004E-2</v>
      </c>
      <c r="E81" s="99">
        <v>8.3000000000000004E-2</v>
      </c>
      <c r="F81" s="113">
        <v>8.3000000000000004E-2</v>
      </c>
      <c r="G81" s="113">
        <v>8.3000000000000004E-2</v>
      </c>
      <c r="H81" s="113">
        <v>8.3000000000000004E-2</v>
      </c>
      <c r="I81" s="113">
        <v>8.3000000000000004E-2</v>
      </c>
      <c r="J81" s="113">
        <v>8.3000000000000004E-2</v>
      </c>
      <c r="K81" s="113">
        <v>8.3000000000000004E-2</v>
      </c>
      <c r="L81" s="113">
        <v>8.4000000000000005E-2</v>
      </c>
      <c r="M81" s="113">
        <v>8.4000000000000005E-2</v>
      </c>
      <c r="N81" s="113">
        <v>8.4000000000000005E-2</v>
      </c>
      <c r="O81" s="113">
        <v>8.4000000000000005E-2</v>
      </c>
      <c r="P81" s="99"/>
      <c r="Q81" s="99"/>
      <c r="R81" s="99"/>
      <c r="S81" s="301">
        <f t="shared" si="8"/>
        <v>0.99999999999999989</v>
      </c>
    </row>
    <row r="82" spans="1:19" s="31" customFormat="1" x14ac:dyDescent="0.2">
      <c r="A82" s="36"/>
      <c r="B82" s="67" t="str">
        <f>'Expenses Summary'!B36</f>
        <v>3323</v>
      </c>
      <c r="C82" s="67" t="str">
        <f>'Expenses Summary'!C36</f>
        <v>Medicare</v>
      </c>
      <c r="D82" s="99">
        <v>8.3000000000000004E-2</v>
      </c>
      <c r="E82" s="99">
        <v>8.3000000000000004E-2</v>
      </c>
      <c r="F82" s="113">
        <v>8.3000000000000004E-2</v>
      </c>
      <c r="G82" s="113">
        <v>8.3000000000000004E-2</v>
      </c>
      <c r="H82" s="113">
        <v>8.3000000000000004E-2</v>
      </c>
      <c r="I82" s="113">
        <v>8.3000000000000004E-2</v>
      </c>
      <c r="J82" s="113">
        <v>8.3000000000000004E-2</v>
      </c>
      <c r="K82" s="113">
        <v>8.3000000000000004E-2</v>
      </c>
      <c r="L82" s="113">
        <v>8.4000000000000005E-2</v>
      </c>
      <c r="M82" s="113">
        <v>8.4000000000000005E-2</v>
      </c>
      <c r="N82" s="113">
        <v>8.4000000000000005E-2</v>
      </c>
      <c r="O82" s="113">
        <v>8.4000000000000005E-2</v>
      </c>
      <c r="P82" s="99"/>
      <c r="Q82" s="99"/>
      <c r="R82" s="99"/>
      <c r="S82" s="301">
        <f t="shared" si="8"/>
        <v>0.99999999999999989</v>
      </c>
    </row>
    <row r="83" spans="1:19" s="31" customFormat="1" x14ac:dyDescent="0.2">
      <c r="A83" s="36"/>
      <c r="B83" s="67" t="str">
        <f>'Expenses Summary'!B37</f>
        <v>3403</v>
      </c>
      <c r="C83" s="67" t="str">
        <f>'Expenses Summary'!C37</f>
        <v>Health &amp; Welfare Benefits</v>
      </c>
      <c r="D83" s="99">
        <v>8.3000000000000004E-2</v>
      </c>
      <c r="E83" s="99">
        <v>8.3000000000000004E-2</v>
      </c>
      <c r="F83" s="113">
        <v>8.3000000000000004E-2</v>
      </c>
      <c r="G83" s="113">
        <v>8.3000000000000004E-2</v>
      </c>
      <c r="H83" s="113">
        <v>8.3000000000000004E-2</v>
      </c>
      <c r="I83" s="113">
        <v>8.3000000000000004E-2</v>
      </c>
      <c r="J83" s="113">
        <v>8.3000000000000004E-2</v>
      </c>
      <c r="K83" s="113">
        <v>8.3000000000000004E-2</v>
      </c>
      <c r="L83" s="113">
        <v>8.4000000000000005E-2</v>
      </c>
      <c r="M83" s="113">
        <v>8.4000000000000005E-2</v>
      </c>
      <c r="N83" s="113">
        <v>8.4000000000000005E-2</v>
      </c>
      <c r="O83" s="113">
        <v>8.4000000000000005E-2</v>
      </c>
      <c r="P83" s="99"/>
      <c r="Q83" s="99"/>
      <c r="R83" s="99"/>
      <c r="S83" s="301">
        <f t="shared" si="8"/>
        <v>0.99999999999999989</v>
      </c>
    </row>
    <row r="84" spans="1:19" s="31" customFormat="1" x14ac:dyDescent="0.2">
      <c r="A84" s="36"/>
      <c r="B84" s="67" t="str">
        <f>'Expenses Summary'!B38</f>
        <v>3503</v>
      </c>
      <c r="C84" s="67" t="str">
        <f>'Expenses Summary'!C38</f>
        <v>State Unemployment Insurance</v>
      </c>
      <c r="D84" s="99">
        <v>8.3000000000000004E-2</v>
      </c>
      <c r="E84" s="99">
        <v>8.3000000000000004E-2</v>
      </c>
      <c r="F84" s="113">
        <v>8.3000000000000004E-2</v>
      </c>
      <c r="G84" s="113">
        <v>8.3000000000000004E-2</v>
      </c>
      <c r="H84" s="113">
        <v>8.3000000000000004E-2</v>
      </c>
      <c r="I84" s="113">
        <v>8.3000000000000004E-2</v>
      </c>
      <c r="J84" s="113">
        <v>8.3000000000000004E-2</v>
      </c>
      <c r="K84" s="113">
        <v>8.3000000000000004E-2</v>
      </c>
      <c r="L84" s="113">
        <v>8.4000000000000005E-2</v>
      </c>
      <c r="M84" s="113">
        <v>8.4000000000000005E-2</v>
      </c>
      <c r="N84" s="113">
        <v>8.4000000000000005E-2</v>
      </c>
      <c r="O84" s="113">
        <v>8.4000000000000005E-2</v>
      </c>
      <c r="P84" s="99"/>
      <c r="Q84" s="99"/>
      <c r="R84" s="99"/>
      <c r="S84" s="301">
        <f t="shared" si="8"/>
        <v>0.99999999999999989</v>
      </c>
    </row>
    <row r="85" spans="1:19" s="31" customFormat="1" x14ac:dyDescent="0.2">
      <c r="A85" s="36"/>
      <c r="B85" s="67" t="str">
        <f>'Expenses Summary'!B39</f>
        <v>3603</v>
      </c>
      <c r="C85" s="67" t="str">
        <f>'Expenses Summary'!C39</f>
        <v>Worker Compensation Insurance</v>
      </c>
      <c r="D85" s="99">
        <v>8.3000000000000004E-2</v>
      </c>
      <c r="E85" s="99">
        <v>8.3000000000000004E-2</v>
      </c>
      <c r="F85" s="113">
        <v>8.3000000000000004E-2</v>
      </c>
      <c r="G85" s="113">
        <v>8.3000000000000004E-2</v>
      </c>
      <c r="H85" s="113">
        <v>8.3000000000000004E-2</v>
      </c>
      <c r="I85" s="113">
        <v>8.3000000000000004E-2</v>
      </c>
      <c r="J85" s="113">
        <v>8.3000000000000004E-2</v>
      </c>
      <c r="K85" s="113">
        <v>8.3000000000000004E-2</v>
      </c>
      <c r="L85" s="113">
        <v>8.4000000000000005E-2</v>
      </c>
      <c r="M85" s="113">
        <v>8.4000000000000005E-2</v>
      </c>
      <c r="N85" s="113">
        <v>8.4000000000000005E-2</v>
      </c>
      <c r="O85" s="113">
        <v>8.4000000000000005E-2</v>
      </c>
      <c r="P85" s="99"/>
      <c r="Q85" s="99"/>
      <c r="R85" s="99"/>
      <c r="S85" s="301">
        <f t="shared" si="8"/>
        <v>0.99999999999999989</v>
      </c>
    </row>
    <row r="86" spans="1:19" s="31" customFormat="1" x14ac:dyDescent="0.2">
      <c r="A86" s="36"/>
      <c r="B86" s="67" t="str">
        <f>'Expenses Summary'!B40</f>
        <v>3703</v>
      </c>
      <c r="C86" s="67" t="str">
        <f>'Expenses Summary'!C40</f>
        <v>Other Post Employement Benefits</v>
      </c>
      <c r="D86" s="99">
        <v>8.3000000000000004E-2</v>
      </c>
      <c r="E86" s="99">
        <v>8.3000000000000004E-2</v>
      </c>
      <c r="F86" s="113">
        <v>8.3000000000000004E-2</v>
      </c>
      <c r="G86" s="113">
        <v>8.3000000000000004E-2</v>
      </c>
      <c r="H86" s="113">
        <v>8.3000000000000004E-2</v>
      </c>
      <c r="I86" s="113">
        <v>8.3000000000000004E-2</v>
      </c>
      <c r="J86" s="113">
        <v>8.3000000000000004E-2</v>
      </c>
      <c r="K86" s="113">
        <v>8.3000000000000004E-2</v>
      </c>
      <c r="L86" s="113">
        <v>8.4000000000000005E-2</v>
      </c>
      <c r="M86" s="113">
        <v>8.4000000000000005E-2</v>
      </c>
      <c r="N86" s="113">
        <v>8.4000000000000005E-2</v>
      </c>
      <c r="O86" s="113">
        <v>8.4000000000000005E-2</v>
      </c>
      <c r="P86" s="99"/>
      <c r="Q86" s="99"/>
      <c r="R86" s="99"/>
      <c r="S86" s="301">
        <f t="shared" si="8"/>
        <v>0.99999999999999989</v>
      </c>
    </row>
    <row r="87" spans="1:19" s="31" customFormat="1" x14ac:dyDescent="0.2">
      <c r="A87" s="36"/>
      <c r="B87" s="67" t="str">
        <f>'Expenses Summary'!B41</f>
        <v>3903</v>
      </c>
      <c r="C87" s="67" t="str">
        <f>'Expenses Summary'!C41</f>
        <v>Other Benefits</v>
      </c>
      <c r="D87" s="99">
        <v>8.3000000000000004E-2</v>
      </c>
      <c r="E87" s="99">
        <v>8.3000000000000004E-2</v>
      </c>
      <c r="F87" s="113">
        <v>8.3000000000000004E-2</v>
      </c>
      <c r="G87" s="113">
        <v>8.3000000000000004E-2</v>
      </c>
      <c r="H87" s="113">
        <v>8.3000000000000004E-2</v>
      </c>
      <c r="I87" s="113">
        <v>8.3000000000000004E-2</v>
      </c>
      <c r="J87" s="113">
        <v>8.3000000000000004E-2</v>
      </c>
      <c r="K87" s="113">
        <v>8.3000000000000004E-2</v>
      </c>
      <c r="L87" s="113">
        <v>8.4000000000000005E-2</v>
      </c>
      <c r="M87" s="113">
        <v>8.4000000000000005E-2</v>
      </c>
      <c r="N87" s="113">
        <v>8.4000000000000005E-2</v>
      </c>
      <c r="O87" s="113">
        <v>8.4000000000000005E-2</v>
      </c>
      <c r="P87" s="99"/>
      <c r="Q87" s="99"/>
      <c r="R87" s="99"/>
      <c r="S87" s="301">
        <f t="shared" si="8"/>
        <v>0.99999999999999989</v>
      </c>
    </row>
    <row r="88" spans="1:19" s="31" customFormat="1" x14ac:dyDescent="0.2">
      <c r="A88" s="36"/>
      <c r="B88" s="122"/>
      <c r="C88" s="122"/>
      <c r="D88" s="123"/>
      <c r="E88" s="123"/>
      <c r="F88" s="123"/>
      <c r="G88" s="123"/>
      <c r="H88" s="123"/>
      <c r="I88" s="123"/>
      <c r="J88" s="123"/>
      <c r="K88" s="123"/>
      <c r="L88" s="123"/>
      <c r="M88" s="123"/>
      <c r="N88" s="123"/>
      <c r="O88" s="123"/>
      <c r="P88" s="100"/>
      <c r="Q88" s="100"/>
      <c r="R88" s="100"/>
      <c r="S88" s="301"/>
    </row>
    <row r="89" spans="1:19" s="31" customFormat="1" x14ac:dyDescent="0.2">
      <c r="A89" s="36"/>
      <c r="B89" s="40"/>
      <c r="C89" s="1"/>
      <c r="D89" s="95"/>
      <c r="E89" s="95"/>
      <c r="F89" s="95"/>
      <c r="G89" s="95"/>
      <c r="H89" s="95"/>
      <c r="I89" s="95"/>
      <c r="J89" s="95"/>
      <c r="K89" s="95"/>
      <c r="L89" s="95"/>
      <c r="M89" s="95"/>
      <c r="N89" s="95"/>
      <c r="O89" s="95"/>
      <c r="P89" s="95"/>
      <c r="Q89" s="95"/>
      <c r="R89" s="95"/>
      <c r="S89" s="301"/>
    </row>
    <row r="90" spans="1:19" s="31" customFormat="1" x14ac:dyDescent="0.2">
      <c r="B90" s="34" t="s">
        <v>678</v>
      </c>
      <c r="C90" s="3"/>
      <c r="D90" s="95"/>
      <c r="E90" s="95"/>
      <c r="F90" s="95"/>
      <c r="G90" s="95"/>
      <c r="H90" s="95"/>
      <c r="I90" s="95"/>
      <c r="J90" s="95"/>
      <c r="K90" s="95"/>
      <c r="L90" s="95"/>
      <c r="M90" s="95"/>
      <c r="N90" s="95"/>
      <c r="O90" s="95"/>
      <c r="P90" s="95"/>
      <c r="Q90" s="95"/>
      <c r="R90" s="95"/>
      <c r="S90" s="301"/>
    </row>
    <row r="91" spans="1:19" s="31" customFormat="1" x14ac:dyDescent="0.2">
      <c r="A91" s="36"/>
      <c r="B91" s="66" t="str">
        <f>'Expenses Summary'!B47</f>
        <v>4100</v>
      </c>
      <c r="C91" s="66" t="str">
        <f>'Expenses Summary'!C47</f>
        <v>Approved Textbooks and Core Curricula Materials</v>
      </c>
      <c r="D91" s="99"/>
      <c r="E91" s="99"/>
      <c r="F91" s="99"/>
      <c r="G91" s="99"/>
      <c r="H91" s="99">
        <v>0.25</v>
      </c>
      <c r="I91" s="103">
        <v>0.25</v>
      </c>
      <c r="J91" s="103">
        <v>0.25</v>
      </c>
      <c r="K91" s="103"/>
      <c r="L91" s="103">
        <v>0.25</v>
      </c>
      <c r="M91" s="103"/>
      <c r="N91" s="103"/>
      <c r="O91" s="103"/>
      <c r="P91" s="103"/>
      <c r="Q91" s="103"/>
      <c r="R91" s="103"/>
      <c r="S91" s="301">
        <f t="shared" ref="S91:S96" si="9">SUM(D91:R91)</f>
        <v>1</v>
      </c>
    </row>
    <row r="92" spans="1:19" x14ac:dyDescent="0.2">
      <c r="A92" s="36"/>
      <c r="B92" s="66" t="str">
        <f>'Expenses Summary'!B48</f>
        <v>4200</v>
      </c>
      <c r="C92" s="66" t="str">
        <f>'Expenses Summary'!C48</f>
        <v>Books and Other Reference Materials</v>
      </c>
      <c r="D92" s="99"/>
      <c r="E92" s="99"/>
      <c r="F92" s="99"/>
      <c r="G92" s="99"/>
      <c r="H92" s="99">
        <v>0.25</v>
      </c>
      <c r="I92" s="103">
        <v>0.25</v>
      </c>
      <c r="J92" s="103">
        <v>0.25</v>
      </c>
      <c r="K92" s="103"/>
      <c r="L92" s="103">
        <v>0.25</v>
      </c>
      <c r="M92" s="103"/>
      <c r="N92" s="99"/>
      <c r="O92" s="103"/>
      <c r="P92" s="103"/>
      <c r="Q92" s="103"/>
      <c r="R92" s="103"/>
      <c r="S92" s="301">
        <f t="shared" si="9"/>
        <v>1</v>
      </c>
    </row>
    <row r="93" spans="1:19" x14ac:dyDescent="0.2">
      <c r="A93" s="36"/>
      <c r="B93" s="66" t="str">
        <f>'Expenses Summary'!B49</f>
        <v>4300</v>
      </c>
      <c r="C93" s="66" t="str">
        <f>'Expenses Summary'!C49</f>
        <v>Materials and Supplies</v>
      </c>
      <c r="D93" s="99"/>
      <c r="E93" s="99"/>
      <c r="F93" s="99">
        <v>0.3</v>
      </c>
      <c r="G93" s="99"/>
      <c r="H93" s="99">
        <v>0.3</v>
      </c>
      <c r="I93" s="103"/>
      <c r="J93" s="103">
        <v>0.3</v>
      </c>
      <c r="K93" s="103"/>
      <c r="L93" s="103">
        <v>0.1</v>
      </c>
      <c r="M93" s="103"/>
      <c r="N93" s="103"/>
      <c r="O93" s="103"/>
      <c r="P93" s="103"/>
      <c r="Q93" s="103"/>
      <c r="R93" s="103"/>
      <c r="S93" s="301">
        <f t="shared" si="9"/>
        <v>0.99999999999999989</v>
      </c>
    </row>
    <row r="94" spans="1:19" x14ac:dyDescent="0.2">
      <c r="A94" s="36"/>
      <c r="B94" s="66" t="str">
        <f>'Expenses Summary'!B50</f>
        <v>4315</v>
      </c>
      <c r="C94" s="66" t="str">
        <f>'Expenses Summary'!C50</f>
        <v>Classroom Materials and Supplies</v>
      </c>
      <c r="D94" s="99"/>
      <c r="E94" s="99"/>
      <c r="F94" s="99">
        <v>0.1</v>
      </c>
      <c r="G94" s="99">
        <v>0.1</v>
      </c>
      <c r="H94" s="99">
        <v>0.2</v>
      </c>
      <c r="I94" s="99">
        <v>0.1</v>
      </c>
      <c r="J94" s="99">
        <v>0.2</v>
      </c>
      <c r="K94" s="99">
        <v>0.1</v>
      </c>
      <c r="L94" s="99">
        <v>0.1</v>
      </c>
      <c r="M94" s="99">
        <v>0.1</v>
      </c>
      <c r="N94" s="103"/>
      <c r="O94" s="103"/>
      <c r="P94" s="103"/>
      <c r="Q94" s="103"/>
      <c r="R94" s="103"/>
      <c r="S94" s="301">
        <f t="shared" si="9"/>
        <v>0.99999999999999989</v>
      </c>
    </row>
    <row r="95" spans="1:19" x14ac:dyDescent="0.2">
      <c r="A95" s="36"/>
      <c r="B95" s="66" t="str">
        <f>'Expenses Summary'!B51</f>
        <v>4400</v>
      </c>
      <c r="C95" s="66" t="str">
        <f>'Expenses Summary'!C51</f>
        <v>Noncapitalized Equipment</v>
      </c>
      <c r="D95" s="117">
        <v>8.3000000000000004E-2</v>
      </c>
      <c r="E95" s="117">
        <v>8.3000000000000004E-2</v>
      </c>
      <c r="F95" s="117">
        <v>8.3000000000000004E-2</v>
      </c>
      <c r="G95" s="117">
        <v>8.3000000000000004E-2</v>
      </c>
      <c r="H95" s="117">
        <v>8.3000000000000004E-2</v>
      </c>
      <c r="I95" s="117">
        <v>8.3000000000000004E-2</v>
      </c>
      <c r="J95" s="117">
        <v>8.3000000000000004E-2</v>
      </c>
      <c r="K95" s="117">
        <v>8.3000000000000004E-2</v>
      </c>
      <c r="L95" s="117">
        <v>8.4000000000000005E-2</v>
      </c>
      <c r="M95" s="117">
        <v>8.4000000000000005E-2</v>
      </c>
      <c r="N95" s="117">
        <v>8.4000000000000005E-2</v>
      </c>
      <c r="O95" s="117">
        <v>8.4000000000000005E-2</v>
      </c>
      <c r="P95" s="99"/>
      <c r="Q95" s="99"/>
      <c r="R95" s="99"/>
      <c r="S95" s="301">
        <f t="shared" si="9"/>
        <v>0.99999999999999989</v>
      </c>
    </row>
    <row r="96" spans="1:19" x14ac:dyDescent="0.2">
      <c r="A96" s="36"/>
      <c r="B96" s="66" t="str">
        <f>'Expenses Summary'!B52</f>
        <v>4430</v>
      </c>
      <c r="C96" s="66" t="str">
        <f>'Expenses Summary'!C52</f>
        <v>General Student Equipment</v>
      </c>
      <c r="D96" s="99"/>
      <c r="E96" s="99"/>
      <c r="F96" s="99">
        <v>0.6</v>
      </c>
      <c r="G96" s="99"/>
      <c r="H96" s="99"/>
      <c r="I96" s="103"/>
      <c r="J96" s="103">
        <v>0.4</v>
      </c>
      <c r="K96" s="103"/>
      <c r="L96" s="103"/>
      <c r="M96" s="103"/>
      <c r="N96" s="103"/>
      <c r="O96" s="103"/>
      <c r="P96" s="103"/>
      <c r="Q96" s="103"/>
      <c r="R96" s="103"/>
      <c r="S96" s="301">
        <f t="shared" si="9"/>
        <v>1</v>
      </c>
    </row>
    <row r="97" spans="1:19" hidden="1" outlineLevel="1" x14ac:dyDescent="0.2">
      <c r="A97" s="36"/>
      <c r="B97" s="66">
        <f>'Expenses Summary'!B53</f>
        <v>0</v>
      </c>
      <c r="C97" s="66">
        <f>'Expenses Summary'!C53</f>
        <v>0</v>
      </c>
      <c r="D97" s="99"/>
      <c r="E97" s="99"/>
      <c r="F97" s="113">
        <v>0.1</v>
      </c>
      <c r="G97" s="113">
        <v>0.1</v>
      </c>
      <c r="H97" s="113">
        <v>0.1</v>
      </c>
      <c r="I97" s="113">
        <v>0.1</v>
      </c>
      <c r="J97" s="113">
        <v>0.1</v>
      </c>
      <c r="K97" s="113">
        <v>0.1</v>
      </c>
      <c r="L97" s="113">
        <v>0.1</v>
      </c>
      <c r="M97" s="113">
        <v>0.1</v>
      </c>
      <c r="N97" s="113">
        <v>0.1</v>
      </c>
      <c r="O97" s="113">
        <v>0.1</v>
      </c>
      <c r="P97" s="103"/>
      <c r="Q97" s="103"/>
      <c r="R97" s="103"/>
      <c r="S97" s="301">
        <f t="shared" ref="S97:S106" si="10">SUM(D97:R97)</f>
        <v>0.99999999999999989</v>
      </c>
    </row>
    <row r="98" spans="1:19" hidden="1" outlineLevel="1" x14ac:dyDescent="0.2">
      <c r="A98" s="36"/>
      <c r="B98" s="66">
        <f>'Expenses Summary'!B54</f>
        <v>0</v>
      </c>
      <c r="C98" s="66">
        <f>'Expenses Summary'!C54</f>
        <v>0</v>
      </c>
      <c r="D98" s="99"/>
      <c r="E98" s="99"/>
      <c r="F98" s="113">
        <v>0.1</v>
      </c>
      <c r="G98" s="113">
        <v>0.1</v>
      </c>
      <c r="H98" s="113">
        <v>0.1</v>
      </c>
      <c r="I98" s="113">
        <v>0.1</v>
      </c>
      <c r="J98" s="113">
        <v>0.1</v>
      </c>
      <c r="K98" s="113">
        <v>0.1</v>
      </c>
      <c r="L98" s="113">
        <v>0.1</v>
      </c>
      <c r="M98" s="113">
        <v>0.1</v>
      </c>
      <c r="N98" s="113">
        <v>0.1</v>
      </c>
      <c r="O98" s="113">
        <v>0.1</v>
      </c>
      <c r="P98" s="103"/>
      <c r="Q98" s="103"/>
      <c r="R98" s="103"/>
      <c r="S98" s="301">
        <f t="shared" si="10"/>
        <v>0.99999999999999989</v>
      </c>
    </row>
    <row r="99" spans="1:19" hidden="1" outlineLevel="1" x14ac:dyDescent="0.2">
      <c r="A99" s="36"/>
      <c r="B99" s="66">
        <f>'Expenses Summary'!B55</f>
        <v>0</v>
      </c>
      <c r="C99" s="66">
        <f>'Expenses Summary'!C55</f>
        <v>0</v>
      </c>
      <c r="D99" s="99"/>
      <c r="E99" s="99"/>
      <c r="F99" s="113">
        <v>0.1</v>
      </c>
      <c r="G99" s="113">
        <v>0.1</v>
      </c>
      <c r="H99" s="113">
        <v>0.1</v>
      </c>
      <c r="I99" s="113">
        <v>0.1</v>
      </c>
      <c r="J99" s="113">
        <v>0.1</v>
      </c>
      <c r="K99" s="113">
        <v>0.1</v>
      </c>
      <c r="L99" s="113">
        <v>0.1</v>
      </c>
      <c r="M99" s="113">
        <v>0.1</v>
      </c>
      <c r="N99" s="113">
        <v>0.1</v>
      </c>
      <c r="O99" s="113">
        <v>0.1</v>
      </c>
      <c r="P99" s="103"/>
      <c r="Q99" s="103"/>
      <c r="R99" s="103"/>
      <c r="S99" s="301">
        <f t="shared" si="10"/>
        <v>0.99999999999999989</v>
      </c>
    </row>
    <row r="100" spans="1:19" hidden="1" outlineLevel="1" x14ac:dyDescent="0.2">
      <c r="A100" s="36"/>
      <c r="B100" s="66">
        <f>'Expenses Summary'!B56</f>
        <v>0</v>
      </c>
      <c r="C100" s="66">
        <f>'Expenses Summary'!C56</f>
        <v>0</v>
      </c>
      <c r="D100" s="99"/>
      <c r="E100" s="99"/>
      <c r="F100" s="113">
        <v>0.1</v>
      </c>
      <c r="G100" s="113">
        <v>0.1</v>
      </c>
      <c r="H100" s="113">
        <v>0.1</v>
      </c>
      <c r="I100" s="113">
        <v>0.1</v>
      </c>
      <c r="J100" s="113">
        <v>0.1</v>
      </c>
      <c r="K100" s="113">
        <v>0.1</v>
      </c>
      <c r="L100" s="113">
        <v>0.1</v>
      </c>
      <c r="M100" s="113">
        <v>0.1</v>
      </c>
      <c r="N100" s="113">
        <v>0.1</v>
      </c>
      <c r="O100" s="113">
        <v>0.1</v>
      </c>
      <c r="P100" s="103"/>
      <c r="Q100" s="103"/>
      <c r="R100" s="103"/>
      <c r="S100" s="301">
        <f t="shared" si="10"/>
        <v>0.99999999999999989</v>
      </c>
    </row>
    <row r="101" spans="1:19" hidden="1" outlineLevel="1" x14ac:dyDescent="0.2">
      <c r="A101" s="36"/>
      <c r="B101" s="66">
        <f>'Expenses Summary'!B57</f>
        <v>0</v>
      </c>
      <c r="C101" s="66">
        <f>'Expenses Summary'!C57</f>
        <v>0</v>
      </c>
      <c r="D101" s="99"/>
      <c r="E101" s="99"/>
      <c r="F101" s="113">
        <v>0.1</v>
      </c>
      <c r="G101" s="113">
        <v>0.1</v>
      </c>
      <c r="H101" s="113">
        <v>0.1</v>
      </c>
      <c r="I101" s="113">
        <v>0.1</v>
      </c>
      <c r="J101" s="113">
        <v>0.1</v>
      </c>
      <c r="K101" s="113">
        <v>0.1</v>
      </c>
      <c r="L101" s="113">
        <v>0.1</v>
      </c>
      <c r="M101" s="113">
        <v>0.1</v>
      </c>
      <c r="N101" s="113">
        <v>0.1</v>
      </c>
      <c r="O101" s="113">
        <v>0.1</v>
      </c>
      <c r="P101" s="103"/>
      <c r="Q101" s="103"/>
      <c r="R101" s="103"/>
      <c r="S101" s="301">
        <f t="shared" si="10"/>
        <v>0.99999999999999989</v>
      </c>
    </row>
    <row r="102" spans="1:19" hidden="1" outlineLevel="1" x14ac:dyDescent="0.2">
      <c r="A102" s="36"/>
      <c r="B102" s="66">
        <f>'Expenses Summary'!B58</f>
        <v>0</v>
      </c>
      <c r="C102" s="66">
        <f>'Expenses Summary'!C58</f>
        <v>0</v>
      </c>
      <c r="D102" s="99"/>
      <c r="E102" s="99"/>
      <c r="F102" s="113">
        <v>0.1</v>
      </c>
      <c r="G102" s="113">
        <v>0.1</v>
      </c>
      <c r="H102" s="113">
        <v>0.1</v>
      </c>
      <c r="I102" s="113">
        <v>0.1</v>
      </c>
      <c r="J102" s="113">
        <v>0.1</v>
      </c>
      <c r="K102" s="113">
        <v>0.1</v>
      </c>
      <c r="L102" s="113">
        <v>0.1</v>
      </c>
      <c r="M102" s="113">
        <v>0.1</v>
      </c>
      <c r="N102" s="113">
        <v>0.1</v>
      </c>
      <c r="O102" s="113">
        <v>0.1</v>
      </c>
      <c r="P102" s="103"/>
      <c r="Q102" s="103"/>
      <c r="R102" s="103"/>
      <c r="S102" s="301">
        <f t="shared" si="10"/>
        <v>0.99999999999999989</v>
      </c>
    </row>
    <row r="103" spans="1:19" hidden="1" outlineLevel="1" x14ac:dyDescent="0.2">
      <c r="A103" s="36"/>
      <c r="B103" s="66">
        <f>'Expenses Summary'!B59</f>
        <v>0</v>
      </c>
      <c r="C103" s="66">
        <f>'Expenses Summary'!C59</f>
        <v>0</v>
      </c>
      <c r="D103" s="99"/>
      <c r="E103" s="99"/>
      <c r="F103" s="113">
        <v>0.1</v>
      </c>
      <c r="G103" s="113">
        <v>0.1</v>
      </c>
      <c r="H103" s="113">
        <v>0.1</v>
      </c>
      <c r="I103" s="113">
        <v>0.1</v>
      </c>
      <c r="J103" s="113">
        <v>0.1</v>
      </c>
      <c r="K103" s="113">
        <v>0.1</v>
      </c>
      <c r="L103" s="113">
        <v>0.1</v>
      </c>
      <c r="M103" s="113">
        <v>0.1</v>
      </c>
      <c r="N103" s="113">
        <v>0.1</v>
      </c>
      <c r="O103" s="113">
        <v>0.1</v>
      </c>
      <c r="P103" s="103"/>
      <c r="Q103" s="103"/>
      <c r="R103" s="103"/>
      <c r="S103" s="301">
        <f t="shared" si="10"/>
        <v>0.99999999999999989</v>
      </c>
    </row>
    <row r="104" spans="1:19" hidden="1" outlineLevel="1" x14ac:dyDescent="0.2">
      <c r="A104" s="36"/>
      <c r="B104" s="66">
        <f>'Expenses Summary'!B60</f>
        <v>0</v>
      </c>
      <c r="C104" s="66">
        <f>'Expenses Summary'!C60</f>
        <v>0</v>
      </c>
      <c r="D104" s="99"/>
      <c r="E104" s="99"/>
      <c r="F104" s="113">
        <v>0.1</v>
      </c>
      <c r="G104" s="113">
        <v>0.1</v>
      </c>
      <c r="H104" s="113">
        <v>0.1</v>
      </c>
      <c r="I104" s="113">
        <v>0.1</v>
      </c>
      <c r="J104" s="113">
        <v>0.1</v>
      </c>
      <c r="K104" s="113">
        <v>0.1</v>
      </c>
      <c r="L104" s="113">
        <v>0.1</v>
      </c>
      <c r="M104" s="113">
        <v>0.1</v>
      </c>
      <c r="N104" s="113">
        <v>0.1</v>
      </c>
      <c r="O104" s="113">
        <v>0.1</v>
      </c>
      <c r="P104" s="103"/>
      <c r="Q104" s="103"/>
      <c r="R104" s="103"/>
      <c r="S104" s="301">
        <f t="shared" si="10"/>
        <v>0.99999999999999989</v>
      </c>
    </row>
    <row r="105" spans="1:19" hidden="1" outlineLevel="1" x14ac:dyDescent="0.2">
      <c r="A105" s="36"/>
      <c r="B105" s="66">
        <f>'Expenses Summary'!B61</f>
        <v>0</v>
      </c>
      <c r="C105" s="66">
        <f>'Expenses Summary'!C61</f>
        <v>0</v>
      </c>
      <c r="D105" s="99"/>
      <c r="E105" s="99"/>
      <c r="F105" s="113">
        <v>0.1</v>
      </c>
      <c r="G105" s="113">
        <v>0.1</v>
      </c>
      <c r="H105" s="113">
        <v>0.1</v>
      </c>
      <c r="I105" s="113">
        <v>0.1</v>
      </c>
      <c r="J105" s="113">
        <v>0.1</v>
      </c>
      <c r="K105" s="113">
        <v>0.1</v>
      </c>
      <c r="L105" s="113">
        <v>0.1</v>
      </c>
      <c r="M105" s="113">
        <v>0.1</v>
      </c>
      <c r="N105" s="113">
        <v>0.1</v>
      </c>
      <c r="O105" s="113">
        <v>0.1</v>
      </c>
      <c r="P105" s="103"/>
      <c r="Q105" s="103"/>
      <c r="R105" s="103"/>
      <c r="S105" s="301">
        <f t="shared" si="10"/>
        <v>0.99999999999999989</v>
      </c>
    </row>
    <row r="106" spans="1:19" hidden="1" outlineLevel="1" x14ac:dyDescent="0.2">
      <c r="A106" s="36"/>
      <c r="B106" s="66">
        <f>'Expenses Summary'!B62</f>
        <v>0</v>
      </c>
      <c r="C106" s="66">
        <f>'Expenses Summary'!C62</f>
        <v>0</v>
      </c>
      <c r="D106" s="99"/>
      <c r="E106" s="99"/>
      <c r="F106" s="113">
        <v>0.1</v>
      </c>
      <c r="G106" s="113">
        <v>0.1</v>
      </c>
      <c r="H106" s="113">
        <v>0.1</v>
      </c>
      <c r="I106" s="113">
        <v>0.1</v>
      </c>
      <c r="J106" s="113">
        <v>0.1</v>
      </c>
      <c r="K106" s="113">
        <v>0.1</v>
      </c>
      <c r="L106" s="113">
        <v>0.1</v>
      </c>
      <c r="M106" s="113">
        <v>0.1</v>
      </c>
      <c r="N106" s="113">
        <v>0.1</v>
      </c>
      <c r="O106" s="113">
        <v>0.1</v>
      </c>
      <c r="P106" s="103"/>
      <c r="Q106" s="103"/>
      <c r="R106" s="103"/>
      <c r="S106" s="301">
        <f t="shared" si="10"/>
        <v>0.99999999999999989</v>
      </c>
    </row>
    <row r="107" spans="1:19" s="31" customFormat="1" collapsed="1" x14ac:dyDescent="0.2">
      <c r="A107" s="36"/>
      <c r="B107" s="66" t="str">
        <f>'Expenses Summary'!B63</f>
        <v>4700</v>
      </c>
      <c r="C107" s="66" t="str">
        <f>'Expenses Summary'!C63</f>
        <v>Food and Food Supplies</v>
      </c>
      <c r="D107" s="99"/>
      <c r="E107" s="99"/>
      <c r="F107" s="113">
        <v>5.5E-2</v>
      </c>
      <c r="G107" s="113"/>
      <c r="H107" s="113">
        <v>0.1</v>
      </c>
      <c r="I107" s="113">
        <v>0.1</v>
      </c>
      <c r="J107" s="113">
        <v>0.1</v>
      </c>
      <c r="K107" s="113">
        <v>0.1</v>
      </c>
      <c r="L107" s="113">
        <v>0.1</v>
      </c>
      <c r="M107" s="113">
        <v>0.1</v>
      </c>
      <c r="N107" s="113">
        <v>0.1</v>
      </c>
      <c r="O107" s="113">
        <v>0.1</v>
      </c>
      <c r="P107" s="103">
        <v>0.1</v>
      </c>
      <c r="Q107" s="103">
        <v>4.4999999999999998E-2</v>
      </c>
      <c r="R107" s="103"/>
      <c r="S107" s="301">
        <f>SUM(D107:R107)</f>
        <v>0.99999999999999989</v>
      </c>
    </row>
    <row r="108" spans="1:19" s="31" customFormat="1" x14ac:dyDescent="0.2">
      <c r="A108" s="36"/>
      <c r="B108" s="124"/>
      <c r="C108" s="93"/>
      <c r="D108" s="100"/>
      <c r="E108" s="100"/>
      <c r="F108" s="119"/>
      <c r="G108" s="119"/>
      <c r="H108" s="119"/>
      <c r="I108" s="119"/>
      <c r="J108" s="119"/>
      <c r="K108" s="119"/>
      <c r="L108" s="119"/>
      <c r="M108" s="119"/>
      <c r="N108" s="119"/>
      <c r="O108" s="119"/>
      <c r="P108" s="108"/>
      <c r="Q108" s="108"/>
      <c r="R108" s="108"/>
      <c r="S108" s="301"/>
    </row>
    <row r="109" spans="1:19" s="31" customFormat="1" x14ac:dyDescent="0.2">
      <c r="A109" s="36"/>
      <c r="B109" s="4"/>
      <c r="C109" s="3"/>
      <c r="D109" s="95"/>
      <c r="E109" s="95"/>
      <c r="F109" s="95"/>
      <c r="G109" s="95"/>
      <c r="H109" s="95"/>
      <c r="I109" s="95"/>
      <c r="J109" s="95"/>
      <c r="K109" s="95"/>
      <c r="L109" s="95"/>
      <c r="M109" s="95"/>
      <c r="N109" s="95"/>
      <c r="O109" s="95"/>
      <c r="P109" s="95"/>
      <c r="Q109" s="95"/>
      <c r="R109" s="95"/>
      <c r="S109" s="301"/>
    </row>
    <row r="110" spans="1:19" s="31" customFormat="1" x14ac:dyDescent="0.2">
      <c r="B110" s="5" t="s">
        <v>722</v>
      </c>
      <c r="C110" s="3"/>
      <c r="D110" s="95"/>
      <c r="E110" s="95"/>
      <c r="F110" s="95"/>
      <c r="G110" s="95"/>
      <c r="H110" s="95"/>
      <c r="I110" s="95"/>
      <c r="J110" s="95"/>
      <c r="K110" s="95"/>
      <c r="L110" s="95"/>
      <c r="M110" s="95"/>
      <c r="N110" s="95"/>
      <c r="O110" s="95"/>
      <c r="P110" s="95"/>
      <c r="Q110" s="95"/>
      <c r="R110" s="95"/>
      <c r="S110" s="301"/>
    </row>
    <row r="111" spans="1:19" s="31" customFormat="1" x14ac:dyDescent="0.2">
      <c r="A111" s="36"/>
      <c r="B111" s="66" t="str">
        <f>'Expenses Summary'!B67</f>
        <v>5200</v>
      </c>
      <c r="C111" s="66" t="str">
        <f>'Expenses Summary'!C67</f>
        <v>Travel and Conferences</v>
      </c>
      <c r="D111" s="99">
        <v>0</v>
      </c>
      <c r="E111" s="99">
        <v>0</v>
      </c>
      <c r="F111" s="99">
        <v>0.3</v>
      </c>
      <c r="G111" s="99">
        <v>0.1</v>
      </c>
      <c r="H111" s="99">
        <v>0.1</v>
      </c>
      <c r="I111" s="99">
        <v>0.1</v>
      </c>
      <c r="J111" s="99">
        <v>0.1</v>
      </c>
      <c r="K111" s="99">
        <v>0.1</v>
      </c>
      <c r="L111" s="99">
        <v>0.1</v>
      </c>
      <c r="M111" s="99">
        <v>0.1</v>
      </c>
      <c r="N111" s="99">
        <v>0</v>
      </c>
      <c r="O111" s="99">
        <v>0</v>
      </c>
      <c r="P111" s="99">
        <v>0</v>
      </c>
      <c r="Q111" s="99">
        <v>0</v>
      </c>
      <c r="R111" s="99">
        <v>0</v>
      </c>
      <c r="S111" s="301">
        <f t="shared" ref="S111:S130" si="11">SUM(D111:R111)</f>
        <v>0.99999999999999989</v>
      </c>
    </row>
    <row r="112" spans="1:19" s="31" customFormat="1" x14ac:dyDescent="0.2">
      <c r="A112" s="36"/>
      <c r="B112" s="66" t="str">
        <f>'Expenses Summary'!B68</f>
        <v>5210</v>
      </c>
      <c r="C112" s="66" t="str">
        <f>'Expenses Summary'!C68</f>
        <v>Training and Development Expense</v>
      </c>
      <c r="D112" s="99">
        <v>0</v>
      </c>
      <c r="E112" s="99">
        <v>0</v>
      </c>
      <c r="F112" s="99">
        <v>0.9</v>
      </c>
      <c r="G112" s="99">
        <v>0</v>
      </c>
      <c r="H112" s="99">
        <v>0</v>
      </c>
      <c r="I112" s="99">
        <v>0</v>
      </c>
      <c r="J112" s="99">
        <v>0</v>
      </c>
      <c r="K112" s="99">
        <v>0</v>
      </c>
      <c r="L112" s="99">
        <v>0.1</v>
      </c>
      <c r="M112" s="99">
        <v>0</v>
      </c>
      <c r="N112" s="99">
        <v>0</v>
      </c>
      <c r="O112" s="99">
        <v>0</v>
      </c>
      <c r="P112" s="99">
        <v>0</v>
      </c>
      <c r="Q112" s="99">
        <v>0</v>
      </c>
      <c r="R112" s="99">
        <v>0</v>
      </c>
      <c r="S112" s="301">
        <f t="shared" si="11"/>
        <v>1</v>
      </c>
    </row>
    <row r="113" spans="1:19" s="31" customFormat="1" x14ac:dyDescent="0.2">
      <c r="A113" s="36"/>
      <c r="B113" s="66" t="str">
        <f>'Expenses Summary'!B69</f>
        <v>5300</v>
      </c>
      <c r="C113" s="66" t="str">
        <f>'Expenses Summary'!C69</f>
        <v>Dues and Memberships</v>
      </c>
      <c r="D113" s="99">
        <v>0</v>
      </c>
      <c r="E113" s="99">
        <v>0</v>
      </c>
      <c r="F113" s="99">
        <v>0.3</v>
      </c>
      <c r="G113" s="99">
        <v>0.1</v>
      </c>
      <c r="H113" s="99">
        <v>0.1</v>
      </c>
      <c r="I113" s="99">
        <v>0.1</v>
      </c>
      <c r="J113" s="99">
        <v>0.1</v>
      </c>
      <c r="K113" s="99">
        <v>0.1</v>
      </c>
      <c r="L113" s="99">
        <v>0.1</v>
      </c>
      <c r="M113" s="99">
        <v>0.1</v>
      </c>
      <c r="N113" s="99">
        <v>0</v>
      </c>
      <c r="O113" s="99">
        <v>0</v>
      </c>
      <c r="P113" s="99">
        <v>0</v>
      </c>
      <c r="Q113" s="99">
        <v>0</v>
      </c>
      <c r="R113" s="99">
        <v>0</v>
      </c>
      <c r="S113" s="301">
        <f t="shared" si="11"/>
        <v>0.99999999999999989</v>
      </c>
    </row>
    <row r="114" spans="1:19" s="31" customFormat="1" x14ac:dyDescent="0.2">
      <c r="A114" s="36"/>
      <c r="B114" s="66" t="str">
        <f>'Expenses Summary'!B70</f>
        <v>5400</v>
      </c>
      <c r="C114" s="66" t="str">
        <f>'Expenses Summary'!C70</f>
        <v>Insurance</v>
      </c>
      <c r="D114" s="99">
        <v>0</v>
      </c>
      <c r="E114" s="99">
        <v>0</v>
      </c>
      <c r="F114" s="99">
        <v>0.3</v>
      </c>
      <c r="G114" s="99">
        <v>0.1</v>
      </c>
      <c r="H114" s="99">
        <v>0.1</v>
      </c>
      <c r="I114" s="99">
        <v>0.1</v>
      </c>
      <c r="J114" s="99">
        <v>0.1</v>
      </c>
      <c r="K114" s="99">
        <v>0.1</v>
      </c>
      <c r="L114" s="99">
        <v>0.1</v>
      </c>
      <c r="M114" s="99">
        <v>0.1</v>
      </c>
      <c r="N114" s="99">
        <v>0</v>
      </c>
      <c r="O114" s="99">
        <v>0</v>
      </c>
      <c r="P114" s="99">
        <v>0</v>
      </c>
      <c r="Q114" s="99">
        <v>0</v>
      </c>
      <c r="R114" s="99">
        <v>0</v>
      </c>
      <c r="S114" s="301">
        <f t="shared" si="11"/>
        <v>0.99999999999999989</v>
      </c>
    </row>
    <row r="115" spans="1:19" s="31" customFormat="1" x14ac:dyDescent="0.2">
      <c r="A115" s="36"/>
      <c r="B115" s="66" t="e">
        <f>'Expenses Summary'!#REF!</f>
        <v>#REF!</v>
      </c>
      <c r="C115" s="66" t="e">
        <f>'Expenses Summary'!#REF!</f>
        <v>#REF!</v>
      </c>
      <c r="D115" s="99">
        <v>0</v>
      </c>
      <c r="E115" s="99">
        <v>0</v>
      </c>
      <c r="F115" s="99">
        <v>0.6</v>
      </c>
      <c r="G115" s="99">
        <v>0</v>
      </c>
      <c r="H115" s="99">
        <v>0</v>
      </c>
      <c r="I115" s="99">
        <v>0</v>
      </c>
      <c r="J115" s="103">
        <v>0.4</v>
      </c>
      <c r="K115" s="99">
        <v>0</v>
      </c>
      <c r="L115" s="99">
        <v>0</v>
      </c>
      <c r="M115" s="99">
        <v>0</v>
      </c>
      <c r="N115" s="99">
        <v>0</v>
      </c>
      <c r="O115" s="99">
        <v>0</v>
      </c>
      <c r="P115" s="99">
        <v>0</v>
      </c>
      <c r="Q115" s="99">
        <v>0</v>
      </c>
      <c r="R115" s="99">
        <v>0</v>
      </c>
      <c r="S115" s="301">
        <f t="shared" si="11"/>
        <v>1</v>
      </c>
    </row>
    <row r="116" spans="1:19" s="31" customFormat="1" x14ac:dyDescent="0.2">
      <c r="A116" s="36"/>
      <c r="B116" s="66" t="str">
        <f>'Expenses Summary'!B71</f>
        <v>5500</v>
      </c>
      <c r="C116" s="66" t="str">
        <f>'Expenses Summary'!C71</f>
        <v>Operation and Housekeeping Services/Supplies</v>
      </c>
      <c r="D116" s="117">
        <v>8.3000000000000004E-2</v>
      </c>
      <c r="E116" s="117">
        <v>8.3000000000000004E-2</v>
      </c>
      <c r="F116" s="117">
        <v>8.3000000000000004E-2</v>
      </c>
      <c r="G116" s="117">
        <v>8.3000000000000004E-2</v>
      </c>
      <c r="H116" s="117">
        <v>8.3000000000000004E-2</v>
      </c>
      <c r="I116" s="117">
        <v>8.3000000000000004E-2</v>
      </c>
      <c r="J116" s="117">
        <v>8.3000000000000004E-2</v>
      </c>
      <c r="K116" s="117">
        <v>8.3000000000000004E-2</v>
      </c>
      <c r="L116" s="117">
        <v>8.4000000000000005E-2</v>
      </c>
      <c r="M116" s="117">
        <v>8.4000000000000005E-2</v>
      </c>
      <c r="N116" s="117">
        <v>8.4000000000000005E-2</v>
      </c>
      <c r="O116" s="117">
        <v>8.4000000000000005E-2</v>
      </c>
      <c r="P116" s="99">
        <v>0</v>
      </c>
      <c r="Q116" s="99">
        <v>0</v>
      </c>
      <c r="R116" s="99">
        <v>0</v>
      </c>
      <c r="S116" s="301">
        <f t="shared" si="11"/>
        <v>0.99999999999999989</v>
      </c>
    </row>
    <row r="117" spans="1:19" s="31" customFormat="1" x14ac:dyDescent="0.2">
      <c r="A117" s="36"/>
      <c r="B117" s="66" t="str">
        <f>'Expenses Summary'!B72</f>
        <v>5501</v>
      </c>
      <c r="C117" s="66" t="str">
        <f>'Expenses Summary'!C72</f>
        <v>Utilities</v>
      </c>
      <c r="D117" s="99">
        <v>0</v>
      </c>
      <c r="E117" s="99">
        <v>0</v>
      </c>
      <c r="F117" s="113">
        <v>0.1</v>
      </c>
      <c r="G117" s="113">
        <v>0.1</v>
      </c>
      <c r="H117" s="113">
        <v>0.1</v>
      </c>
      <c r="I117" s="113">
        <v>0.1</v>
      </c>
      <c r="J117" s="113">
        <v>0.1</v>
      </c>
      <c r="K117" s="113">
        <v>0.1</v>
      </c>
      <c r="L117" s="113">
        <v>0.1</v>
      </c>
      <c r="M117" s="113">
        <v>0.1</v>
      </c>
      <c r="N117" s="113">
        <v>0.1</v>
      </c>
      <c r="O117" s="113">
        <v>0.1</v>
      </c>
      <c r="P117" s="99">
        <v>0</v>
      </c>
      <c r="Q117" s="99">
        <v>0</v>
      </c>
      <c r="R117" s="99">
        <v>0</v>
      </c>
      <c r="S117" s="301">
        <f t="shared" si="11"/>
        <v>0.99999999999999989</v>
      </c>
    </row>
    <row r="118" spans="1:19" s="31" customFormat="1" x14ac:dyDescent="0.2">
      <c r="A118" s="36"/>
      <c r="B118" s="66" t="str">
        <f>'Expenses Summary'!B73</f>
        <v>5505</v>
      </c>
      <c r="C118" s="66" t="str">
        <f>'Expenses Summary'!C73</f>
        <v>Student Transportation / Field Trips</v>
      </c>
      <c r="D118" s="117">
        <v>8.3000000000000004E-2</v>
      </c>
      <c r="E118" s="117">
        <v>0.16700000000000001</v>
      </c>
      <c r="F118" s="117">
        <v>8.3000000000000004E-2</v>
      </c>
      <c r="G118" s="117">
        <v>8.3000000000000004E-2</v>
      </c>
      <c r="H118" s="117">
        <v>8.3000000000000004E-2</v>
      </c>
      <c r="I118" s="117">
        <v>8.3000000000000004E-2</v>
      </c>
      <c r="J118" s="117">
        <v>8.3000000000000004E-2</v>
      </c>
      <c r="K118" s="117">
        <v>8.3000000000000004E-2</v>
      </c>
      <c r="L118" s="117">
        <v>8.4000000000000005E-2</v>
      </c>
      <c r="M118" s="117">
        <v>8.4000000000000005E-2</v>
      </c>
      <c r="N118" s="117">
        <v>8.4000000000000005E-2</v>
      </c>
      <c r="O118" s="117">
        <v>0</v>
      </c>
      <c r="P118" s="99">
        <v>0</v>
      </c>
      <c r="Q118" s="99">
        <v>0</v>
      </c>
      <c r="R118" s="99">
        <v>0</v>
      </c>
      <c r="S118" s="301">
        <f t="shared" si="11"/>
        <v>0.99999999999999989</v>
      </c>
    </row>
    <row r="119" spans="1:19" s="31" customFormat="1" x14ac:dyDescent="0.2">
      <c r="A119" s="36"/>
      <c r="B119" s="66" t="str">
        <f>'Expenses Summary'!B74</f>
        <v>5600</v>
      </c>
      <c r="C119" s="66" t="str">
        <f>'Expenses Summary'!C74</f>
        <v>Space Rental/Leases Expense</v>
      </c>
      <c r="D119" s="99">
        <v>0.05</v>
      </c>
      <c r="E119" s="99">
        <v>0.05</v>
      </c>
      <c r="F119" s="99">
        <v>0.09</v>
      </c>
      <c r="G119" s="99">
        <v>0.09</v>
      </c>
      <c r="H119" s="99">
        <v>0.09</v>
      </c>
      <c r="I119" s="99">
        <v>0.09</v>
      </c>
      <c r="J119" s="99">
        <v>0.09</v>
      </c>
      <c r="K119" s="99">
        <v>0.09</v>
      </c>
      <c r="L119" s="99">
        <v>0.09</v>
      </c>
      <c r="M119" s="99">
        <v>0.09</v>
      </c>
      <c r="N119" s="99">
        <v>0.09</v>
      </c>
      <c r="O119" s="99">
        <v>0.09</v>
      </c>
      <c r="P119" s="99">
        <v>0</v>
      </c>
      <c r="Q119" s="99">
        <v>0</v>
      </c>
      <c r="R119" s="99">
        <v>0</v>
      </c>
      <c r="S119" s="301">
        <f t="shared" si="11"/>
        <v>0.99999999999999978</v>
      </c>
    </row>
    <row r="120" spans="1:19" s="31" customFormat="1" x14ac:dyDescent="0.2">
      <c r="A120" s="36"/>
      <c r="B120" s="66" t="str">
        <f>'Expenses Summary'!B75</f>
        <v>5601</v>
      </c>
      <c r="C120" s="66" t="str">
        <f>'Expenses Summary'!C75</f>
        <v>Building Maintenance</v>
      </c>
      <c r="D120" s="117">
        <v>8.3000000000000004E-2</v>
      </c>
      <c r="E120" s="117">
        <v>8.3000000000000004E-2</v>
      </c>
      <c r="F120" s="117">
        <v>8.3000000000000004E-2</v>
      </c>
      <c r="G120" s="117">
        <v>8.3000000000000004E-2</v>
      </c>
      <c r="H120" s="117">
        <v>8.3000000000000004E-2</v>
      </c>
      <c r="I120" s="117">
        <v>8.3000000000000004E-2</v>
      </c>
      <c r="J120" s="117">
        <v>8.3000000000000004E-2</v>
      </c>
      <c r="K120" s="117">
        <v>8.3000000000000004E-2</v>
      </c>
      <c r="L120" s="117">
        <v>8.4000000000000005E-2</v>
      </c>
      <c r="M120" s="117">
        <v>8.4000000000000005E-2</v>
      </c>
      <c r="N120" s="117">
        <v>8.4000000000000005E-2</v>
      </c>
      <c r="O120" s="117">
        <v>8.4000000000000005E-2</v>
      </c>
      <c r="P120" s="99">
        <v>0</v>
      </c>
      <c r="Q120" s="99">
        <v>0</v>
      </c>
      <c r="R120" s="99">
        <v>0</v>
      </c>
      <c r="S120" s="301">
        <f t="shared" si="11"/>
        <v>0.99999999999999989</v>
      </c>
    </row>
    <row r="121" spans="1:19" s="31" customFormat="1" x14ac:dyDescent="0.2">
      <c r="A121" s="36"/>
      <c r="B121" s="66" t="str">
        <f>'Expenses Summary'!B76</f>
        <v>5602</v>
      </c>
      <c r="C121" s="66" t="str">
        <f>'Expenses Summary'!C76</f>
        <v>Other Space Rental</v>
      </c>
      <c r="D121" s="117">
        <v>8.3000000000000004E-2</v>
      </c>
      <c r="E121" s="117">
        <v>8.3000000000000004E-2</v>
      </c>
      <c r="F121" s="117">
        <v>8.3000000000000004E-2</v>
      </c>
      <c r="G121" s="117">
        <v>8.3000000000000004E-2</v>
      </c>
      <c r="H121" s="117">
        <v>8.3000000000000004E-2</v>
      </c>
      <c r="I121" s="117">
        <v>8.3000000000000004E-2</v>
      </c>
      <c r="J121" s="117">
        <v>8.3000000000000004E-2</v>
      </c>
      <c r="K121" s="117">
        <v>8.3000000000000004E-2</v>
      </c>
      <c r="L121" s="117">
        <v>8.4000000000000005E-2</v>
      </c>
      <c r="M121" s="117">
        <v>8.4000000000000005E-2</v>
      </c>
      <c r="N121" s="117">
        <v>8.4000000000000005E-2</v>
      </c>
      <c r="O121" s="117">
        <v>8.4000000000000005E-2</v>
      </c>
      <c r="P121" s="99">
        <v>0</v>
      </c>
      <c r="Q121" s="99">
        <v>0</v>
      </c>
      <c r="R121" s="99">
        <v>0</v>
      </c>
      <c r="S121" s="301">
        <f t="shared" si="11"/>
        <v>0.99999999999999989</v>
      </c>
    </row>
    <row r="122" spans="1:19" s="31" customFormat="1" x14ac:dyDescent="0.2">
      <c r="A122" s="36"/>
      <c r="B122" s="66" t="str">
        <f>'Expenses Summary'!B77</f>
        <v>5605</v>
      </c>
      <c r="C122" s="66" t="str">
        <f>'Expenses Summary'!C77</f>
        <v>Equipment Rental/Lease Expense</v>
      </c>
      <c r="D122" s="99">
        <v>0</v>
      </c>
      <c r="E122" s="99">
        <v>0</v>
      </c>
      <c r="F122" s="113">
        <v>0.1</v>
      </c>
      <c r="G122" s="113">
        <v>0.1</v>
      </c>
      <c r="H122" s="113">
        <v>0.1</v>
      </c>
      <c r="I122" s="113">
        <v>0.1</v>
      </c>
      <c r="J122" s="113">
        <v>0.1</v>
      </c>
      <c r="K122" s="113">
        <v>0.1</v>
      </c>
      <c r="L122" s="113">
        <v>0.1</v>
      </c>
      <c r="M122" s="113">
        <v>0.1</v>
      </c>
      <c r="N122" s="113">
        <v>0.1</v>
      </c>
      <c r="O122" s="113">
        <v>0.1</v>
      </c>
      <c r="P122" s="99">
        <v>0</v>
      </c>
      <c r="Q122" s="99">
        <v>0</v>
      </c>
      <c r="R122" s="99">
        <v>0</v>
      </c>
      <c r="S122" s="301">
        <f t="shared" si="11"/>
        <v>0.99999999999999989</v>
      </c>
    </row>
    <row r="123" spans="1:19" s="31" customFormat="1" x14ac:dyDescent="0.2">
      <c r="A123" s="36"/>
      <c r="B123" s="66" t="str">
        <f>'Expenses Summary'!B78</f>
        <v>5610</v>
      </c>
      <c r="C123" s="66" t="str">
        <f>'Expenses Summary'!C78</f>
        <v>Equipment Repair</v>
      </c>
      <c r="D123" s="117">
        <v>8.3000000000000004E-2</v>
      </c>
      <c r="E123" s="117">
        <v>8.3000000000000004E-2</v>
      </c>
      <c r="F123" s="117">
        <v>8.3000000000000004E-2</v>
      </c>
      <c r="G123" s="117">
        <v>8.3000000000000004E-2</v>
      </c>
      <c r="H123" s="117">
        <v>8.3000000000000004E-2</v>
      </c>
      <c r="I123" s="117">
        <v>8.3000000000000004E-2</v>
      </c>
      <c r="J123" s="117">
        <v>8.3000000000000004E-2</v>
      </c>
      <c r="K123" s="117">
        <v>8.3000000000000004E-2</v>
      </c>
      <c r="L123" s="117">
        <v>8.4000000000000005E-2</v>
      </c>
      <c r="M123" s="117">
        <v>8.4000000000000005E-2</v>
      </c>
      <c r="N123" s="117">
        <v>8.4000000000000005E-2</v>
      </c>
      <c r="O123" s="117">
        <v>8.4000000000000005E-2</v>
      </c>
      <c r="P123" s="99">
        <v>0</v>
      </c>
      <c r="Q123" s="99">
        <v>0</v>
      </c>
      <c r="R123" s="99">
        <v>0</v>
      </c>
      <c r="S123" s="301">
        <f t="shared" si="11"/>
        <v>0.99999999999999989</v>
      </c>
    </row>
    <row r="124" spans="1:19" s="31" customFormat="1" x14ac:dyDescent="0.2">
      <c r="A124" s="36"/>
      <c r="B124" s="66" t="str">
        <f>'Expenses Summary'!B79</f>
        <v>5800</v>
      </c>
      <c r="C124" s="66" t="str">
        <f>'Expenses Summary'!C79</f>
        <v>Professional/Consulting Services and Operating Expenditures</v>
      </c>
      <c r="D124" s="99">
        <v>0.05</v>
      </c>
      <c r="E124" s="99">
        <v>0.05</v>
      </c>
      <c r="F124" s="99">
        <v>0.09</v>
      </c>
      <c r="G124" s="99">
        <v>0.09</v>
      </c>
      <c r="H124" s="99">
        <v>0.09</v>
      </c>
      <c r="I124" s="99">
        <v>0.09</v>
      </c>
      <c r="J124" s="99">
        <v>0.09</v>
      </c>
      <c r="K124" s="99">
        <v>0.09</v>
      </c>
      <c r="L124" s="99">
        <v>0.09</v>
      </c>
      <c r="M124" s="99">
        <v>0.09</v>
      </c>
      <c r="N124" s="99">
        <v>0.09</v>
      </c>
      <c r="O124" s="99">
        <v>0.09</v>
      </c>
      <c r="P124" s="99">
        <v>0</v>
      </c>
      <c r="Q124" s="99">
        <v>0</v>
      </c>
      <c r="R124" s="99">
        <v>0</v>
      </c>
      <c r="S124" s="301">
        <f t="shared" si="11"/>
        <v>0.99999999999999978</v>
      </c>
    </row>
    <row r="125" spans="1:19" s="31" customFormat="1" x14ac:dyDescent="0.2">
      <c r="A125" s="36"/>
      <c r="B125" s="66" t="str">
        <f>'Expenses Summary'!B80</f>
        <v>5803</v>
      </c>
      <c r="C125" s="66" t="str">
        <f>'Expenses Summary'!C80</f>
        <v>Banking and Payroll Service Fees</v>
      </c>
      <c r="D125" s="99">
        <v>0.05</v>
      </c>
      <c r="E125" s="99">
        <v>0.05</v>
      </c>
      <c r="F125" s="99">
        <v>0.09</v>
      </c>
      <c r="G125" s="99">
        <v>0.09</v>
      </c>
      <c r="H125" s="99">
        <v>0.09</v>
      </c>
      <c r="I125" s="99">
        <v>0.09</v>
      </c>
      <c r="J125" s="99">
        <v>0.09</v>
      </c>
      <c r="K125" s="99">
        <v>0.09</v>
      </c>
      <c r="L125" s="99">
        <v>0.09</v>
      </c>
      <c r="M125" s="99">
        <v>0.09</v>
      </c>
      <c r="N125" s="99">
        <v>0.09</v>
      </c>
      <c r="O125" s="99">
        <v>0.09</v>
      </c>
      <c r="P125" s="99">
        <v>0</v>
      </c>
      <c r="Q125" s="99">
        <v>0</v>
      </c>
      <c r="R125" s="99">
        <v>0</v>
      </c>
      <c r="S125" s="301">
        <f t="shared" si="11"/>
        <v>0.99999999999999978</v>
      </c>
    </row>
    <row r="126" spans="1:19" s="31" customFormat="1" x14ac:dyDescent="0.2">
      <c r="A126" s="36"/>
      <c r="B126" s="66" t="str">
        <f>'Expenses Summary'!B81</f>
        <v>5805</v>
      </c>
      <c r="C126" s="66" t="str">
        <f>'Expenses Summary'!C81</f>
        <v>Legal Services and Audit</v>
      </c>
      <c r="D126" s="99">
        <v>0</v>
      </c>
      <c r="E126" s="99">
        <v>0</v>
      </c>
      <c r="F126" s="99">
        <v>0</v>
      </c>
      <c r="G126" s="99">
        <v>0</v>
      </c>
      <c r="H126" s="99">
        <v>0.125</v>
      </c>
      <c r="I126" s="99">
        <v>0.125</v>
      </c>
      <c r="J126" s="99">
        <v>0.125</v>
      </c>
      <c r="K126" s="99">
        <v>0.125</v>
      </c>
      <c r="L126" s="99">
        <v>0.125</v>
      </c>
      <c r="M126" s="99">
        <v>0.125</v>
      </c>
      <c r="N126" s="99">
        <v>0.125</v>
      </c>
      <c r="O126" s="99">
        <v>0.125</v>
      </c>
      <c r="P126" s="99">
        <v>0</v>
      </c>
      <c r="Q126" s="99">
        <v>0</v>
      </c>
      <c r="R126" s="99">
        <v>0</v>
      </c>
      <c r="S126" s="301">
        <f t="shared" si="11"/>
        <v>1</v>
      </c>
    </row>
    <row r="127" spans="1:19" s="31" customFormat="1" x14ac:dyDescent="0.2">
      <c r="A127" s="36"/>
      <c r="B127" s="66" t="str">
        <f>'Expenses Summary'!B82</f>
        <v>5810</v>
      </c>
      <c r="C127" s="66" t="str">
        <f>'Expenses Summary'!C82</f>
        <v>Educational Consultants</v>
      </c>
      <c r="D127" s="99">
        <v>0.05</v>
      </c>
      <c r="E127" s="99">
        <v>0.05</v>
      </c>
      <c r="F127" s="99">
        <v>0.09</v>
      </c>
      <c r="G127" s="99">
        <v>0.09</v>
      </c>
      <c r="H127" s="99">
        <v>0.09</v>
      </c>
      <c r="I127" s="99">
        <v>0.09</v>
      </c>
      <c r="J127" s="99">
        <v>0.09</v>
      </c>
      <c r="K127" s="99">
        <v>0.09</v>
      </c>
      <c r="L127" s="99">
        <v>0.09</v>
      </c>
      <c r="M127" s="99">
        <v>0.09</v>
      </c>
      <c r="N127" s="99">
        <v>0.09</v>
      </c>
      <c r="O127" s="99">
        <v>0.09</v>
      </c>
      <c r="P127" s="99">
        <v>0</v>
      </c>
      <c r="Q127" s="99">
        <v>0</v>
      </c>
      <c r="R127" s="99">
        <v>0</v>
      </c>
      <c r="S127" s="301">
        <f t="shared" si="11"/>
        <v>0.99999999999999978</v>
      </c>
    </row>
    <row r="128" spans="1:19" s="31" customFormat="1" x14ac:dyDescent="0.2">
      <c r="A128" s="36"/>
      <c r="B128" s="66" t="str">
        <f>'Expenses Summary'!B83</f>
        <v>5815</v>
      </c>
      <c r="C128" s="66" t="str">
        <f>'Expenses Summary'!C83</f>
        <v>Advertising / Recruiting</v>
      </c>
      <c r="D128" s="99">
        <v>0</v>
      </c>
      <c r="E128" s="99">
        <v>0</v>
      </c>
      <c r="F128" s="113">
        <v>0.1</v>
      </c>
      <c r="G128" s="113">
        <v>0.1</v>
      </c>
      <c r="H128" s="113">
        <v>0.1</v>
      </c>
      <c r="I128" s="113">
        <v>0.1</v>
      </c>
      <c r="J128" s="113">
        <v>0.1</v>
      </c>
      <c r="K128" s="113">
        <v>0.1</v>
      </c>
      <c r="L128" s="113">
        <v>0.1</v>
      </c>
      <c r="M128" s="113">
        <v>0.1</v>
      </c>
      <c r="N128" s="113">
        <v>0.1</v>
      </c>
      <c r="O128" s="113">
        <v>0.1</v>
      </c>
      <c r="P128" s="99">
        <v>0</v>
      </c>
      <c r="Q128" s="99">
        <v>0</v>
      </c>
      <c r="R128" s="99">
        <v>0</v>
      </c>
      <c r="S128" s="301">
        <f t="shared" si="11"/>
        <v>0.99999999999999989</v>
      </c>
    </row>
    <row r="129" spans="1:19" s="31" customFormat="1" x14ac:dyDescent="0.2">
      <c r="A129" s="36"/>
      <c r="B129" s="66" t="str">
        <f>'Expenses Summary'!B84</f>
        <v>5820</v>
      </c>
      <c r="C129" s="66" t="str">
        <f>'Expenses Summary'!C84</f>
        <v>Fundraising Expense</v>
      </c>
      <c r="D129" s="99">
        <v>0</v>
      </c>
      <c r="E129" s="99">
        <v>0</v>
      </c>
      <c r="F129" s="113">
        <v>0.1</v>
      </c>
      <c r="G129" s="113">
        <v>0.1</v>
      </c>
      <c r="H129" s="113">
        <v>0.1</v>
      </c>
      <c r="I129" s="113">
        <v>0.1</v>
      </c>
      <c r="J129" s="113">
        <v>0.1</v>
      </c>
      <c r="K129" s="113">
        <v>0.1</v>
      </c>
      <c r="L129" s="113">
        <v>0.1</v>
      </c>
      <c r="M129" s="113">
        <v>0.1</v>
      </c>
      <c r="N129" s="113">
        <v>0.1</v>
      </c>
      <c r="O129" s="113">
        <v>0.1</v>
      </c>
      <c r="P129" s="99">
        <v>0</v>
      </c>
      <c r="Q129" s="99">
        <v>0</v>
      </c>
      <c r="R129" s="99">
        <v>0</v>
      </c>
      <c r="S129" s="301">
        <f t="shared" si="11"/>
        <v>0.99999999999999989</v>
      </c>
    </row>
    <row r="130" spans="1:19" s="31" customFormat="1" x14ac:dyDescent="0.2">
      <c r="A130" s="36"/>
      <c r="B130" s="66" t="str">
        <f>'Expenses Summary'!B85</f>
        <v>5875</v>
      </c>
      <c r="C130" s="66" t="str">
        <f>'Expenses Summary'!C85</f>
        <v>District Oversight Fee</v>
      </c>
      <c r="D130" s="99">
        <v>0.23704389000000001</v>
      </c>
      <c r="E130" s="99">
        <v>0</v>
      </c>
      <c r="F130" s="113">
        <v>0</v>
      </c>
      <c r="G130" s="113">
        <v>0</v>
      </c>
      <c r="H130" s="113">
        <v>0.184235654</v>
      </c>
      <c r="I130" s="113">
        <v>0</v>
      </c>
      <c r="J130" s="113">
        <v>0.28936000000000001</v>
      </c>
      <c r="K130" s="113">
        <v>0</v>
      </c>
      <c r="L130" s="113">
        <v>0</v>
      </c>
      <c r="M130" s="113">
        <v>0.28936000000000001</v>
      </c>
      <c r="N130" s="113">
        <v>0</v>
      </c>
      <c r="O130" s="113">
        <v>0</v>
      </c>
      <c r="P130" s="99">
        <v>0</v>
      </c>
      <c r="Q130" s="99">
        <v>0</v>
      </c>
      <c r="R130" s="99">
        <v>0</v>
      </c>
      <c r="S130" s="301">
        <f t="shared" si="11"/>
        <v>0.99999954400000002</v>
      </c>
    </row>
    <row r="131" spans="1:19" s="31" customFormat="1" x14ac:dyDescent="0.2">
      <c r="A131" s="36"/>
      <c r="B131" s="66" t="str">
        <f>'Expenses Summary'!B86</f>
        <v>5890</v>
      </c>
      <c r="C131" s="66" t="str">
        <f>'Expenses Summary'!C86</f>
        <v>Interest Expense / Misc. Fees</v>
      </c>
      <c r="D131" s="117">
        <v>8.33285E-2</v>
      </c>
      <c r="E131" s="117">
        <v>8.33285E-2</v>
      </c>
      <c r="F131" s="117">
        <v>8.33285E-2</v>
      </c>
      <c r="G131" s="117">
        <v>8.33285E-2</v>
      </c>
      <c r="H131" s="117">
        <v>8.33285E-2</v>
      </c>
      <c r="I131" s="117">
        <v>8.33285E-2</v>
      </c>
      <c r="J131" s="117">
        <v>8.33285E-2</v>
      </c>
      <c r="K131" s="117">
        <v>8.33285E-2</v>
      </c>
      <c r="L131" s="117">
        <v>8.33285E-2</v>
      </c>
      <c r="M131" s="117">
        <v>8.33285E-2</v>
      </c>
      <c r="N131" s="117">
        <v>8.33285E-2</v>
      </c>
      <c r="O131" s="117">
        <v>8.3386000000000002E-2</v>
      </c>
      <c r="P131" s="99">
        <v>0</v>
      </c>
      <c r="Q131" s="99">
        <v>0</v>
      </c>
      <c r="R131" s="99">
        <v>0</v>
      </c>
      <c r="S131" s="301">
        <f t="shared" ref="S131:S141" si="12">SUM(D131:R131)</f>
        <v>0.99999950000000015</v>
      </c>
    </row>
    <row r="132" spans="1:19" s="31" customFormat="1" x14ac:dyDescent="0.2">
      <c r="A132" s="36"/>
      <c r="B132" s="66" t="str">
        <f>'Expenses Summary'!B87</f>
        <v>5891</v>
      </c>
      <c r="C132" s="66" t="str">
        <f>'Expenses Summary'!C87</f>
        <v>Charter School Capital Fees</v>
      </c>
      <c r="D132" s="117">
        <v>8.3000000000000004E-2</v>
      </c>
      <c r="E132" s="117">
        <v>8.3000000000000004E-2</v>
      </c>
      <c r="F132" s="117">
        <v>8.3000000000000004E-2</v>
      </c>
      <c r="G132" s="117">
        <v>8.3000000000000004E-2</v>
      </c>
      <c r="H132" s="117">
        <v>8.3000000000000004E-2</v>
      </c>
      <c r="I132" s="117">
        <v>8.3000000000000004E-2</v>
      </c>
      <c r="J132" s="117">
        <v>8.3000000000000004E-2</v>
      </c>
      <c r="K132" s="117">
        <v>8.3000000000000004E-2</v>
      </c>
      <c r="L132" s="117">
        <v>8.4000000000000005E-2</v>
      </c>
      <c r="M132" s="117">
        <v>8.4000000000000005E-2</v>
      </c>
      <c r="N132" s="117">
        <v>8.4000000000000005E-2</v>
      </c>
      <c r="O132" s="117">
        <v>8.4000000000000005E-2</v>
      </c>
      <c r="P132" s="99">
        <v>0</v>
      </c>
      <c r="Q132" s="99">
        <v>0</v>
      </c>
      <c r="R132" s="99">
        <v>0</v>
      </c>
      <c r="S132" s="301">
        <f t="shared" si="12"/>
        <v>0.99999999999999989</v>
      </c>
    </row>
    <row r="133" spans="1:19" s="31" customFormat="1" hidden="1" outlineLevel="1" x14ac:dyDescent="0.2">
      <c r="A133" s="36"/>
      <c r="B133" s="66" t="str">
        <f>'Expenses Summary'!B88</f>
        <v>5899</v>
      </c>
      <c r="C133" s="66" t="str">
        <f>'Expenses Summary'!C88</f>
        <v>CMO Management Fee</v>
      </c>
      <c r="D133" s="99"/>
      <c r="E133" s="99"/>
      <c r="F133" s="113">
        <v>0.1</v>
      </c>
      <c r="G133" s="113">
        <v>0.1</v>
      </c>
      <c r="H133" s="113">
        <v>0.1</v>
      </c>
      <c r="I133" s="113">
        <v>0.1</v>
      </c>
      <c r="J133" s="113">
        <v>0.1</v>
      </c>
      <c r="K133" s="113">
        <v>0.1</v>
      </c>
      <c r="L133" s="113">
        <v>0.1</v>
      </c>
      <c r="M133" s="113">
        <v>0.1</v>
      </c>
      <c r="N133" s="113">
        <v>0.1</v>
      </c>
      <c r="O133" s="113">
        <v>0.1</v>
      </c>
      <c r="P133" s="99">
        <v>0</v>
      </c>
      <c r="Q133" s="99">
        <v>0</v>
      </c>
      <c r="R133" s="99">
        <v>0</v>
      </c>
      <c r="S133" s="301">
        <f t="shared" si="12"/>
        <v>0.99999999999999989</v>
      </c>
    </row>
    <row r="134" spans="1:19" s="31" customFormat="1" hidden="1" outlineLevel="1" x14ac:dyDescent="0.2">
      <c r="A134" s="36"/>
      <c r="B134" s="66" t="str">
        <f>'Expenses Summary'!B89</f>
        <v>5900</v>
      </c>
      <c r="C134" s="66" t="str">
        <f>'Expenses Summary'!C89</f>
        <v>Communications</v>
      </c>
      <c r="D134" s="99"/>
      <c r="E134" s="99"/>
      <c r="F134" s="113">
        <v>0.1</v>
      </c>
      <c r="G134" s="113">
        <v>0.1</v>
      </c>
      <c r="H134" s="113">
        <v>0.1</v>
      </c>
      <c r="I134" s="113">
        <v>0.1</v>
      </c>
      <c r="J134" s="113">
        <v>0.1</v>
      </c>
      <c r="K134" s="113">
        <v>0.1</v>
      </c>
      <c r="L134" s="113">
        <v>0.1</v>
      </c>
      <c r="M134" s="113">
        <v>0.1</v>
      </c>
      <c r="N134" s="113">
        <v>0.1</v>
      </c>
      <c r="O134" s="113">
        <v>0.1</v>
      </c>
      <c r="P134" s="99">
        <v>0</v>
      </c>
      <c r="Q134" s="99">
        <v>0</v>
      </c>
      <c r="R134" s="99">
        <v>0</v>
      </c>
      <c r="S134" s="301">
        <f t="shared" si="12"/>
        <v>0.99999999999999989</v>
      </c>
    </row>
    <row r="135" spans="1:19" s="31" customFormat="1" hidden="1" outlineLevel="1" x14ac:dyDescent="0.2">
      <c r="A135" s="36"/>
      <c r="B135" s="66">
        <f>'Expenses Summary'!B90</f>
        <v>0</v>
      </c>
      <c r="C135" s="66">
        <f>'Expenses Summary'!C90</f>
        <v>0</v>
      </c>
      <c r="D135" s="99"/>
      <c r="E135" s="99"/>
      <c r="F135" s="113">
        <v>0.1</v>
      </c>
      <c r="G135" s="113">
        <v>0.1</v>
      </c>
      <c r="H135" s="113">
        <v>0.1</v>
      </c>
      <c r="I135" s="113">
        <v>0.1</v>
      </c>
      <c r="J135" s="113">
        <v>0.1</v>
      </c>
      <c r="K135" s="113">
        <v>0.1</v>
      </c>
      <c r="L135" s="113">
        <v>0.1</v>
      </c>
      <c r="M135" s="113">
        <v>0.1</v>
      </c>
      <c r="N135" s="113">
        <v>0.1</v>
      </c>
      <c r="O135" s="113">
        <v>0.1</v>
      </c>
      <c r="P135" s="99">
        <v>0</v>
      </c>
      <c r="Q135" s="99">
        <v>0</v>
      </c>
      <c r="R135" s="99">
        <v>0</v>
      </c>
      <c r="S135" s="301">
        <f t="shared" si="12"/>
        <v>0.99999999999999989</v>
      </c>
    </row>
    <row r="136" spans="1:19" s="31" customFormat="1" hidden="1" outlineLevel="1" x14ac:dyDescent="0.2">
      <c r="A136" s="36"/>
      <c r="B136" s="66">
        <f>'Expenses Summary'!B91</f>
        <v>0</v>
      </c>
      <c r="C136" s="66">
        <f>'Expenses Summary'!C91</f>
        <v>0</v>
      </c>
      <c r="D136" s="99"/>
      <c r="E136" s="99"/>
      <c r="F136" s="113">
        <v>0.1</v>
      </c>
      <c r="G136" s="113">
        <v>0.1</v>
      </c>
      <c r="H136" s="113">
        <v>0.1</v>
      </c>
      <c r="I136" s="113">
        <v>0.1</v>
      </c>
      <c r="J136" s="113">
        <v>0.1</v>
      </c>
      <c r="K136" s="113">
        <v>0.1</v>
      </c>
      <c r="L136" s="113">
        <v>0.1</v>
      </c>
      <c r="M136" s="113">
        <v>0.1</v>
      </c>
      <c r="N136" s="113">
        <v>0.1</v>
      </c>
      <c r="O136" s="113">
        <v>0.1</v>
      </c>
      <c r="P136" s="99">
        <v>0</v>
      </c>
      <c r="Q136" s="99">
        <v>0</v>
      </c>
      <c r="R136" s="99">
        <v>0</v>
      </c>
      <c r="S136" s="301">
        <f t="shared" si="12"/>
        <v>0.99999999999999989</v>
      </c>
    </row>
    <row r="137" spans="1:19" s="31" customFormat="1" hidden="1" outlineLevel="1" x14ac:dyDescent="0.2">
      <c r="A137" s="36"/>
      <c r="B137" s="66">
        <f>'Expenses Summary'!B92</f>
        <v>0</v>
      </c>
      <c r="C137" s="66">
        <f>'Expenses Summary'!C92</f>
        <v>0</v>
      </c>
      <c r="D137" s="99"/>
      <c r="E137" s="99"/>
      <c r="F137" s="113">
        <v>0.1</v>
      </c>
      <c r="G137" s="113">
        <v>0.1</v>
      </c>
      <c r="H137" s="113">
        <v>0.1</v>
      </c>
      <c r="I137" s="113">
        <v>0.1</v>
      </c>
      <c r="J137" s="113">
        <v>0.1</v>
      </c>
      <c r="K137" s="113">
        <v>0.1</v>
      </c>
      <c r="L137" s="113">
        <v>0.1</v>
      </c>
      <c r="M137" s="113">
        <v>0.1</v>
      </c>
      <c r="N137" s="113">
        <v>0.1</v>
      </c>
      <c r="O137" s="113">
        <v>0.1</v>
      </c>
      <c r="P137" s="99">
        <v>0</v>
      </c>
      <c r="Q137" s="99">
        <v>0</v>
      </c>
      <c r="R137" s="99">
        <v>0</v>
      </c>
      <c r="S137" s="301">
        <f t="shared" si="12"/>
        <v>0.99999999999999989</v>
      </c>
    </row>
    <row r="138" spans="1:19" s="31" customFormat="1" hidden="1" outlineLevel="1" x14ac:dyDescent="0.2">
      <c r="A138" s="36"/>
      <c r="B138" s="66">
        <f>'Expenses Summary'!B93</f>
        <v>0</v>
      </c>
      <c r="C138" s="66">
        <f>'Expenses Summary'!C93</f>
        <v>0</v>
      </c>
      <c r="D138" s="99"/>
      <c r="E138" s="99"/>
      <c r="F138" s="113">
        <v>0.1</v>
      </c>
      <c r="G138" s="113">
        <v>0.1</v>
      </c>
      <c r="H138" s="113">
        <v>0.1</v>
      </c>
      <c r="I138" s="113">
        <v>0.1</v>
      </c>
      <c r="J138" s="113">
        <v>0.1</v>
      </c>
      <c r="K138" s="113">
        <v>0.1</v>
      </c>
      <c r="L138" s="113">
        <v>0.1</v>
      </c>
      <c r="M138" s="113">
        <v>0.1</v>
      </c>
      <c r="N138" s="113">
        <v>0.1</v>
      </c>
      <c r="O138" s="113">
        <v>0.1</v>
      </c>
      <c r="P138" s="99">
        <v>0</v>
      </c>
      <c r="Q138" s="99">
        <v>0</v>
      </c>
      <c r="R138" s="99">
        <v>0</v>
      </c>
      <c r="S138" s="301">
        <f t="shared" si="12"/>
        <v>0.99999999999999989</v>
      </c>
    </row>
    <row r="139" spans="1:19" s="31" customFormat="1" hidden="1" outlineLevel="1" x14ac:dyDescent="0.2">
      <c r="A139" s="36"/>
      <c r="B139" s="66">
        <f>'Expenses Summary'!B94</f>
        <v>0</v>
      </c>
      <c r="C139" s="66">
        <f>'Expenses Summary'!C94</f>
        <v>0</v>
      </c>
      <c r="D139" s="99"/>
      <c r="E139" s="99"/>
      <c r="F139" s="113">
        <v>0.1</v>
      </c>
      <c r="G139" s="113">
        <v>0.1</v>
      </c>
      <c r="H139" s="113">
        <v>0.1</v>
      </c>
      <c r="I139" s="113">
        <v>0.1</v>
      </c>
      <c r="J139" s="113">
        <v>0.1</v>
      </c>
      <c r="K139" s="113">
        <v>0.1</v>
      </c>
      <c r="L139" s="113">
        <v>0.1</v>
      </c>
      <c r="M139" s="113">
        <v>0.1</v>
      </c>
      <c r="N139" s="113">
        <v>0.1</v>
      </c>
      <c r="O139" s="113">
        <v>0.1</v>
      </c>
      <c r="P139" s="99">
        <v>0</v>
      </c>
      <c r="Q139" s="99">
        <v>0</v>
      </c>
      <c r="R139" s="99">
        <v>0</v>
      </c>
      <c r="S139" s="301">
        <f t="shared" si="12"/>
        <v>0.99999999999999989</v>
      </c>
    </row>
    <row r="140" spans="1:19" s="31" customFormat="1" hidden="1" outlineLevel="1" x14ac:dyDescent="0.2">
      <c r="A140" s="36"/>
      <c r="B140" s="66">
        <f>'Expenses Summary'!B95</f>
        <v>0</v>
      </c>
      <c r="C140" s="66">
        <f>'Expenses Summary'!C95</f>
        <v>0</v>
      </c>
      <c r="D140" s="99"/>
      <c r="E140" s="99"/>
      <c r="F140" s="113">
        <v>0.1</v>
      </c>
      <c r="G140" s="113">
        <v>0.1</v>
      </c>
      <c r="H140" s="113">
        <v>0.1</v>
      </c>
      <c r="I140" s="113">
        <v>0.1</v>
      </c>
      <c r="J140" s="113">
        <v>0.1</v>
      </c>
      <c r="K140" s="113">
        <v>0.1</v>
      </c>
      <c r="L140" s="113">
        <v>0.1</v>
      </c>
      <c r="M140" s="113">
        <v>0.1</v>
      </c>
      <c r="N140" s="113">
        <v>0.1</v>
      </c>
      <c r="O140" s="113">
        <v>0.1</v>
      </c>
      <c r="P140" s="99">
        <v>0</v>
      </c>
      <c r="Q140" s="99">
        <v>0</v>
      </c>
      <c r="R140" s="99">
        <v>0</v>
      </c>
      <c r="S140" s="301">
        <f t="shared" si="12"/>
        <v>0.99999999999999989</v>
      </c>
    </row>
    <row r="141" spans="1:19" s="31" customFormat="1" hidden="1" outlineLevel="1" x14ac:dyDescent="0.2">
      <c r="A141" s="36"/>
      <c r="B141" s="66">
        <f>'Expenses Summary'!B96</f>
        <v>0</v>
      </c>
      <c r="C141" s="66">
        <f>'Expenses Summary'!C96</f>
        <v>0</v>
      </c>
      <c r="D141" s="99"/>
      <c r="E141" s="99"/>
      <c r="F141" s="113">
        <v>0.1</v>
      </c>
      <c r="G141" s="113">
        <v>0.1</v>
      </c>
      <c r="H141" s="113">
        <v>0.1</v>
      </c>
      <c r="I141" s="113">
        <v>0.1</v>
      </c>
      <c r="J141" s="113">
        <v>0.1</v>
      </c>
      <c r="K141" s="113">
        <v>0.1</v>
      </c>
      <c r="L141" s="113">
        <v>0.1</v>
      </c>
      <c r="M141" s="113">
        <v>0.1</v>
      </c>
      <c r="N141" s="113">
        <v>0.1</v>
      </c>
      <c r="O141" s="113">
        <v>0.1</v>
      </c>
      <c r="P141" s="99">
        <v>0</v>
      </c>
      <c r="Q141" s="99">
        <v>0</v>
      </c>
      <c r="R141" s="99">
        <v>0</v>
      </c>
      <c r="S141" s="301">
        <f t="shared" si="12"/>
        <v>0.99999999999999989</v>
      </c>
    </row>
    <row r="142" spans="1:19" s="31" customFormat="1" hidden="1" outlineLevel="1" x14ac:dyDescent="0.2">
      <c r="A142" s="36"/>
      <c r="B142" s="66">
        <f>'Expenses Summary'!B97</f>
        <v>0</v>
      </c>
      <c r="C142" s="66">
        <f>'Expenses Summary'!C97</f>
        <v>0</v>
      </c>
      <c r="D142" s="99"/>
      <c r="E142" s="99"/>
      <c r="F142" s="113">
        <v>0.1</v>
      </c>
      <c r="G142" s="113">
        <v>0.1</v>
      </c>
      <c r="H142" s="113">
        <v>0.1</v>
      </c>
      <c r="I142" s="113">
        <v>0.1</v>
      </c>
      <c r="J142" s="113">
        <v>0.1</v>
      </c>
      <c r="K142" s="113">
        <v>0.1</v>
      </c>
      <c r="L142" s="113">
        <v>0.1</v>
      </c>
      <c r="M142" s="113">
        <v>0.1</v>
      </c>
      <c r="N142" s="113">
        <v>0.1</v>
      </c>
      <c r="O142" s="113">
        <v>0.1</v>
      </c>
      <c r="P142" s="99">
        <v>0</v>
      </c>
      <c r="Q142" s="99">
        <v>0</v>
      </c>
      <c r="R142" s="99">
        <v>0</v>
      </c>
      <c r="S142" s="301">
        <f>SUM(D142:R142)</f>
        <v>0.99999999999999989</v>
      </c>
    </row>
    <row r="143" spans="1:19" s="31" customFormat="1" collapsed="1" x14ac:dyDescent="0.2">
      <c r="A143" s="36"/>
      <c r="B143" s="66" t="str">
        <f>'Expenses Summary'!B98</f>
        <v>5999</v>
      </c>
      <c r="C143" s="66" t="str">
        <f>'Expenses Summary'!C98</f>
        <v>Expense Suspense</v>
      </c>
      <c r="D143" s="99">
        <v>0.05</v>
      </c>
      <c r="E143" s="99">
        <v>0.05</v>
      </c>
      <c r="F143" s="99">
        <v>0.09</v>
      </c>
      <c r="G143" s="99">
        <v>0.09</v>
      </c>
      <c r="H143" s="99">
        <v>0.09</v>
      </c>
      <c r="I143" s="99">
        <v>0.09</v>
      </c>
      <c r="J143" s="99">
        <v>0.09</v>
      </c>
      <c r="K143" s="99">
        <v>0.09</v>
      </c>
      <c r="L143" s="99">
        <v>0.09</v>
      </c>
      <c r="M143" s="99">
        <v>0.09</v>
      </c>
      <c r="N143" s="99">
        <v>0.09</v>
      </c>
      <c r="O143" s="99">
        <v>0.09</v>
      </c>
      <c r="P143" s="99">
        <v>0</v>
      </c>
      <c r="Q143" s="99">
        <v>0</v>
      </c>
      <c r="R143" s="99">
        <v>0</v>
      </c>
      <c r="S143" s="301">
        <f>SUM(D143:R143)</f>
        <v>0.99999999999999978</v>
      </c>
    </row>
    <row r="144" spans="1:19" s="31" customFormat="1" x14ac:dyDescent="0.2">
      <c r="A144" s="36"/>
      <c r="B144" s="124"/>
      <c r="C144" s="93"/>
      <c r="D144" s="100"/>
      <c r="E144" s="100"/>
      <c r="F144" s="100"/>
      <c r="G144" s="100"/>
      <c r="H144" s="100"/>
      <c r="I144" s="100"/>
      <c r="J144" s="100"/>
      <c r="K144" s="100"/>
      <c r="L144" s="100"/>
      <c r="M144" s="100"/>
      <c r="N144" s="100"/>
      <c r="O144" s="100"/>
      <c r="P144" s="108"/>
      <c r="Q144" s="108"/>
      <c r="R144" s="108"/>
      <c r="S144" s="301"/>
    </row>
    <row r="145" spans="1:24" s="31" customFormat="1" x14ac:dyDescent="0.2">
      <c r="A145" s="36"/>
      <c r="B145" s="4"/>
      <c r="C145" s="3"/>
      <c r="D145" s="95"/>
      <c r="E145" s="95"/>
      <c r="F145" s="95"/>
      <c r="G145" s="95"/>
      <c r="H145" s="95"/>
      <c r="I145" s="95"/>
      <c r="J145" s="95"/>
      <c r="K145" s="95"/>
      <c r="L145" s="95"/>
      <c r="M145" s="95"/>
      <c r="N145" s="95"/>
      <c r="O145" s="95"/>
      <c r="P145" s="95"/>
      <c r="Q145" s="95"/>
      <c r="R145" s="95"/>
      <c r="S145" s="301"/>
    </row>
    <row r="146" spans="1:24" s="31" customFormat="1" x14ac:dyDescent="0.2">
      <c r="B146" s="34" t="s">
        <v>723</v>
      </c>
      <c r="C146" s="3"/>
      <c r="D146" s="95"/>
      <c r="E146" s="95"/>
      <c r="F146" s="95"/>
      <c r="G146" s="95"/>
      <c r="H146" s="95"/>
      <c r="I146" s="95"/>
      <c r="J146" s="95"/>
      <c r="K146" s="95"/>
      <c r="L146" s="95"/>
      <c r="M146" s="95"/>
      <c r="N146" s="95"/>
      <c r="O146" s="95"/>
      <c r="P146" s="95"/>
      <c r="Q146" s="95"/>
      <c r="R146" s="95"/>
      <c r="S146" s="301"/>
    </row>
    <row r="147" spans="1:24" s="31" customFormat="1" x14ac:dyDescent="0.2">
      <c r="A147" s="36"/>
      <c r="B147" s="66" t="str">
        <f>'Expenses Summary'!B102</f>
        <v>6900</v>
      </c>
      <c r="C147" s="66" t="str">
        <f>'Expenses Summary'!C102</f>
        <v xml:space="preserve">Depreciation Expense                                                            </v>
      </c>
      <c r="D147" s="99">
        <v>0</v>
      </c>
      <c r="E147" s="99">
        <v>0</v>
      </c>
      <c r="F147" s="99">
        <v>0</v>
      </c>
      <c r="G147" s="99">
        <v>0</v>
      </c>
      <c r="H147" s="99">
        <v>0</v>
      </c>
      <c r="I147" s="99">
        <v>0</v>
      </c>
      <c r="J147" s="99">
        <v>0</v>
      </c>
      <c r="K147" s="99">
        <v>0</v>
      </c>
      <c r="L147" s="99">
        <v>0</v>
      </c>
      <c r="M147" s="99">
        <v>0</v>
      </c>
      <c r="N147" s="99">
        <v>0</v>
      </c>
      <c r="O147" s="99">
        <v>1</v>
      </c>
      <c r="P147" s="99">
        <v>0</v>
      </c>
      <c r="Q147" s="99">
        <v>0</v>
      </c>
      <c r="R147" s="99">
        <v>0</v>
      </c>
      <c r="S147" s="301">
        <f>SUM(D147:R147)</f>
        <v>1</v>
      </c>
    </row>
    <row r="148" spans="1:24" s="31" customFormat="1" x14ac:dyDescent="0.2">
      <c r="A148" s="36"/>
      <c r="B148" s="124"/>
      <c r="C148" s="93"/>
      <c r="D148" s="100"/>
      <c r="E148" s="100"/>
      <c r="F148" s="100"/>
      <c r="G148" s="100"/>
      <c r="H148" s="100"/>
      <c r="I148" s="108"/>
      <c r="J148" s="108"/>
      <c r="K148" s="108"/>
      <c r="L148" s="108"/>
      <c r="M148" s="108"/>
      <c r="N148" s="108"/>
      <c r="O148" s="108"/>
      <c r="P148" s="108"/>
      <c r="Q148" s="108"/>
      <c r="R148" s="108"/>
      <c r="S148" s="301"/>
    </row>
    <row r="149" spans="1:24" s="31" customFormat="1" x14ac:dyDescent="0.2">
      <c r="A149" s="36"/>
      <c r="B149" s="4"/>
      <c r="C149" s="3"/>
      <c r="D149" s="95"/>
      <c r="E149" s="104"/>
      <c r="F149" s="104"/>
      <c r="G149" s="95"/>
      <c r="H149" s="95"/>
      <c r="I149" s="95"/>
      <c r="J149" s="95"/>
      <c r="K149" s="95"/>
      <c r="L149" s="95"/>
      <c r="M149" s="95"/>
      <c r="N149" s="95"/>
      <c r="O149" s="95"/>
      <c r="P149" s="95"/>
      <c r="Q149" s="95"/>
      <c r="R149" s="95"/>
      <c r="S149" s="301"/>
    </row>
    <row r="150" spans="1:24" s="31" customFormat="1" x14ac:dyDescent="0.2">
      <c r="B150" s="34" t="s">
        <v>724</v>
      </c>
      <c r="C150" s="3"/>
      <c r="D150" s="95"/>
      <c r="E150" s="104"/>
      <c r="F150" s="104"/>
      <c r="G150" s="95"/>
      <c r="H150" s="95"/>
      <c r="I150" s="95"/>
      <c r="J150" s="95"/>
      <c r="K150" s="95"/>
      <c r="L150" s="95"/>
      <c r="M150" s="95"/>
      <c r="N150" s="95"/>
      <c r="O150" s="95"/>
      <c r="P150" s="95"/>
      <c r="Q150" s="95"/>
      <c r="R150" s="95"/>
      <c r="S150" s="301"/>
    </row>
    <row r="151" spans="1:24" s="31" customFormat="1" x14ac:dyDescent="0.2">
      <c r="A151" s="36"/>
      <c r="B151" s="66" t="str">
        <f>'Expenses Summary'!B106</f>
        <v>7000</v>
      </c>
      <c r="C151" s="66" t="str">
        <f>'Expenses Summary'!C106</f>
        <v>Miscellaneous Expense</v>
      </c>
      <c r="D151" s="99">
        <v>0.05</v>
      </c>
      <c r="E151" s="99">
        <v>0.05</v>
      </c>
      <c r="F151" s="99">
        <v>0.09</v>
      </c>
      <c r="G151" s="99">
        <v>0.09</v>
      </c>
      <c r="H151" s="99">
        <v>0.09</v>
      </c>
      <c r="I151" s="99">
        <v>0.09</v>
      </c>
      <c r="J151" s="99">
        <v>0.09</v>
      </c>
      <c r="K151" s="99">
        <v>0.09</v>
      </c>
      <c r="L151" s="99">
        <v>0.09</v>
      </c>
      <c r="M151" s="99">
        <v>0.09</v>
      </c>
      <c r="N151" s="99">
        <v>0.09</v>
      </c>
      <c r="O151" s="99">
        <v>0.09</v>
      </c>
      <c r="P151" s="99">
        <v>0</v>
      </c>
      <c r="Q151" s="99">
        <v>0</v>
      </c>
      <c r="R151" s="99">
        <v>0</v>
      </c>
      <c r="S151" s="301">
        <f>SUM(D151:R151)</f>
        <v>0.99999999999999978</v>
      </c>
    </row>
    <row r="152" spans="1:24" s="31" customFormat="1" x14ac:dyDescent="0.2">
      <c r="A152" s="36"/>
      <c r="B152" s="66" t="str">
        <f>'Expenses Summary'!B107</f>
        <v>7010</v>
      </c>
      <c r="C152" s="66" t="str">
        <f>'Expenses Summary'!C107</f>
        <v>Special Education Encroachment</v>
      </c>
      <c r="D152" s="99">
        <v>0</v>
      </c>
      <c r="E152" s="99">
        <v>0</v>
      </c>
      <c r="F152" s="99">
        <v>0</v>
      </c>
      <c r="G152" s="99">
        <v>0</v>
      </c>
      <c r="H152" s="99">
        <v>0</v>
      </c>
      <c r="I152" s="99">
        <v>0</v>
      </c>
      <c r="J152" s="99">
        <v>0</v>
      </c>
      <c r="K152" s="99">
        <v>0</v>
      </c>
      <c r="L152" s="99">
        <v>0</v>
      </c>
      <c r="M152" s="99">
        <v>0</v>
      </c>
      <c r="N152" s="99">
        <v>0</v>
      </c>
      <c r="O152" s="99">
        <v>1</v>
      </c>
      <c r="P152" s="99">
        <v>0</v>
      </c>
      <c r="Q152" s="99">
        <v>0</v>
      </c>
      <c r="R152" s="99">
        <v>0</v>
      </c>
      <c r="S152" s="301">
        <f>SUM(D152:R152)</f>
        <v>1</v>
      </c>
    </row>
    <row r="153" spans="1:24" s="31" customFormat="1" x14ac:dyDescent="0.2">
      <c r="A153" s="36"/>
      <c r="B153" s="66" t="str">
        <f>'Expenses Summary'!B108</f>
        <v>7438</v>
      </c>
      <c r="C153" s="66" t="str">
        <f>'Expenses Summary'!C108</f>
        <v xml:space="preserve">Debt </v>
      </c>
      <c r="D153" s="99">
        <v>0</v>
      </c>
      <c r="E153" s="99">
        <v>0</v>
      </c>
      <c r="F153" s="99">
        <v>0</v>
      </c>
      <c r="G153" s="99">
        <v>0</v>
      </c>
      <c r="H153" s="99">
        <v>0</v>
      </c>
      <c r="I153" s="99">
        <v>0</v>
      </c>
      <c r="J153" s="99">
        <v>0</v>
      </c>
      <c r="K153" s="99">
        <v>0</v>
      </c>
      <c r="L153" s="99">
        <v>0</v>
      </c>
      <c r="M153" s="99">
        <v>0</v>
      </c>
      <c r="N153" s="99">
        <v>0</v>
      </c>
      <c r="O153" s="99">
        <v>1</v>
      </c>
      <c r="P153" s="99">
        <v>0</v>
      </c>
      <c r="Q153" s="99">
        <v>0</v>
      </c>
      <c r="R153" s="99">
        <v>0</v>
      </c>
      <c r="S153" s="301">
        <f>SUM(D153:R153)</f>
        <v>1</v>
      </c>
    </row>
    <row r="154" spans="1:24" s="31" customFormat="1" x14ac:dyDescent="0.2">
      <c r="A154" s="36"/>
      <c r="B154" s="66" t="str">
        <f>'Expenses Summary'!B109</f>
        <v>7500</v>
      </c>
      <c r="C154" s="66" t="str">
        <f>'Expenses Summary'!C109</f>
        <v>District Oversight Fee</v>
      </c>
      <c r="D154" s="99">
        <v>0</v>
      </c>
      <c r="E154" s="99">
        <v>0</v>
      </c>
      <c r="F154" s="99">
        <v>0</v>
      </c>
      <c r="G154" s="99">
        <v>0</v>
      </c>
      <c r="H154" s="99">
        <v>0</v>
      </c>
      <c r="I154" s="99">
        <v>0</v>
      </c>
      <c r="J154" s="99">
        <v>0</v>
      </c>
      <c r="K154" s="99">
        <v>0</v>
      </c>
      <c r="L154" s="99">
        <v>0</v>
      </c>
      <c r="M154" s="99">
        <v>0</v>
      </c>
      <c r="N154" s="99">
        <v>0</v>
      </c>
      <c r="O154" s="99">
        <v>1</v>
      </c>
      <c r="P154" s="99">
        <v>0</v>
      </c>
      <c r="Q154" s="99">
        <v>0</v>
      </c>
      <c r="R154" s="99">
        <v>0</v>
      </c>
      <c r="S154" s="301">
        <f>SUM(D154:R154)</f>
        <v>1</v>
      </c>
    </row>
    <row r="155" spans="1:24" s="31" customFormat="1" x14ac:dyDescent="0.2">
      <c r="A155" s="36"/>
      <c r="B155" s="40"/>
      <c r="C155" s="1"/>
      <c r="D155" s="105"/>
      <c r="E155" s="105"/>
      <c r="F155" s="105"/>
      <c r="G155" s="105"/>
      <c r="H155" s="105"/>
      <c r="I155" s="105"/>
      <c r="J155" s="105"/>
      <c r="K155" s="105"/>
      <c r="L155" s="105"/>
      <c r="M155" s="105"/>
      <c r="N155" s="105"/>
      <c r="O155" s="105"/>
      <c r="P155" s="105"/>
      <c r="Q155" s="105"/>
      <c r="R155" s="105"/>
    </row>
    <row r="156" spans="1:24" s="31" customFormat="1" x14ac:dyDescent="0.2">
      <c r="A156" s="36"/>
      <c r="B156" s="40"/>
      <c r="C156" s="1"/>
      <c r="D156" s="95"/>
      <c r="E156" s="95"/>
      <c r="F156" s="95"/>
      <c r="G156" s="95"/>
      <c r="H156" s="95"/>
      <c r="I156" s="95"/>
      <c r="J156" s="95"/>
      <c r="K156" s="95"/>
      <c r="L156" s="95"/>
      <c r="M156" s="95"/>
      <c r="N156" s="95"/>
      <c r="O156" s="95"/>
      <c r="P156" s="95"/>
      <c r="Q156" s="95"/>
      <c r="R156" s="95"/>
      <c r="T156" s="154" t="s">
        <v>830</v>
      </c>
    </row>
    <row r="157" spans="1:24" s="31" customFormat="1" x14ac:dyDescent="0.2">
      <c r="A157" s="36"/>
      <c r="B157" s="34" t="s">
        <v>824</v>
      </c>
      <c r="C157" s="3"/>
      <c r="D157" s="95"/>
      <c r="E157" s="104"/>
      <c r="F157" s="104"/>
      <c r="G157" s="95"/>
      <c r="H157" s="95"/>
      <c r="I157" s="95"/>
      <c r="J157" s="95"/>
      <c r="K157" s="95"/>
      <c r="L157" s="95"/>
      <c r="M157" s="95"/>
      <c r="N157" s="95"/>
      <c r="O157" s="95"/>
      <c r="P157" s="95"/>
      <c r="Q157" s="95"/>
      <c r="R157" s="95"/>
      <c r="T157" s="31" t="str">
        <f>A3</f>
        <v>2015-16</v>
      </c>
    </row>
    <row r="158" spans="1:24" s="31" customFormat="1" x14ac:dyDescent="0.2">
      <c r="A158" s="36"/>
      <c r="B158" s="66"/>
      <c r="C158" s="135" t="s">
        <v>825</v>
      </c>
      <c r="D158" s="99">
        <v>1</v>
      </c>
      <c r="E158" s="99"/>
      <c r="F158" s="99"/>
      <c r="G158" s="99"/>
      <c r="H158" s="99"/>
      <c r="I158" s="99"/>
      <c r="J158" s="99"/>
      <c r="K158" s="99"/>
      <c r="L158" s="99"/>
      <c r="M158" s="99"/>
      <c r="N158" s="99"/>
      <c r="O158" s="99"/>
      <c r="P158" s="103"/>
      <c r="Q158" s="103"/>
      <c r="R158" s="103"/>
      <c r="S158" s="107">
        <f>SUM(D158:R158)</f>
        <v>1</v>
      </c>
      <c r="T158" s="149">
        <f>22341+692510</f>
        <v>714851</v>
      </c>
      <c r="U158" s="149"/>
      <c r="V158" s="149"/>
      <c r="W158" s="149"/>
      <c r="X158" s="149"/>
    </row>
    <row r="159" spans="1:24" s="31" customFormat="1" x14ac:dyDescent="0.2">
      <c r="A159" s="36"/>
      <c r="B159" s="66"/>
      <c r="C159" s="135" t="s">
        <v>826</v>
      </c>
      <c r="D159" s="99">
        <v>0.6</v>
      </c>
      <c r="E159" s="99">
        <v>0.25</v>
      </c>
      <c r="F159" s="113">
        <v>0.1</v>
      </c>
      <c r="G159" s="113"/>
      <c r="H159" s="113"/>
      <c r="I159" s="113"/>
      <c r="J159" s="113"/>
      <c r="K159" s="113"/>
      <c r="L159" s="113"/>
      <c r="M159" s="113"/>
      <c r="N159" s="113"/>
      <c r="O159" s="113"/>
      <c r="P159" s="103"/>
      <c r="Q159" s="103"/>
      <c r="R159" s="103"/>
      <c r="S159" s="107">
        <f>SUM(D159:R159)</f>
        <v>0.95</v>
      </c>
      <c r="T159" s="149">
        <v>101258</v>
      </c>
      <c r="U159" s="149"/>
      <c r="V159" s="149"/>
      <c r="W159" s="149"/>
      <c r="X159" s="149"/>
    </row>
    <row r="160" spans="1:24" s="31" customFormat="1" x14ac:dyDescent="0.2">
      <c r="A160" s="36"/>
      <c r="B160" s="66"/>
      <c r="C160" s="135" t="s">
        <v>827</v>
      </c>
      <c r="D160" s="99">
        <v>0.5</v>
      </c>
      <c r="E160" s="99">
        <v>0.2</v>
      </c>
      <c r="F160" s="99"/>
      <c r="G160" s="99"/>
      <c r="H160" s="99"/>
      <c r="I160" s="103"/>
      <c r="J160" s="103"/>
      <c r="K160" s="103"/>
      <c r="L160" s="103"/>
      <c r="M160" s="103"/>
      <c r="N160" s="103"/>
      <c r="O160" s="103"/>
      <c r="P160" s="103"/>
      <c r="Q160" s="103"/>
      <c r="R160" s="103"/>
      <c r="S160" s="107">
        <f>SUM(D160:R160)</f>
        <v>0.7</v>
      </c>
      <c r="T160" s="149">
        <v>144571</v>
      </c>
      <c r="U160" s="149"/>
      <c r="V160" s="149"/>
      <c r="W160" s="149"/>
      <c r="X160" s="149"/>
    </row>
    <row r="161" spans="1:24" s="40" customFormat="1" x14ac:dyDescent="0.2">
      <c r="A161" s="36"/>
      <c r="B161" s="66"/>
      <c r="C161" s="135" t="s">
        <v>828</v>
      </c>
      <c r="D161" s="99"/>
      <c r="E161" s="99"/>
      <c r="F161" s="150">
        <f>F153</f>
        <v>0</v>
      </c>
      <c r="G161" s="150">
        <f t="shared" ref="G161:O161" si="13">G153</f>
        <v>0</v>
      </c>
      <c r="H161" s="150">
        <f t="shared" si="13"/>
        <v>0</v>
      </c>
      <c r="I161" s="150">
        <f t="shared" si="13"/>
        <v>0</v>
      </c>
      <c r="J161" s="150">
        <f t="shared" si="13"/>
        <v>0</v>
      </c>
      <c r="K161" s="150">
        <f t="shared" si="13"/>
        <v>0</v>
      </c>
      <c r="L161" s="150">
        <f t="shared" si="13"/>
        <v>0</v>
      </c>
      <c r="M161" s="150">
        <f t="shared" si="13"/>
        <v>0</v>
      </c>
      <c r="N161" s="150">
        <f t="shared" si="13"/>
        <v>0</v>
      </c>
      <c r="O161" s="150">
        <f t="shared" si="13"/>
        <v>1</v>
      </c>
      <c r="P161" s="103"/>
      <c r="Q161" s="103"/>
      <c r="R161" s="103"/>
      <c r="S161" s="107">
        <f>SUM(D161:R161)</f>
        <v>1</v>
      </c>
      <c r="T161" s="149">
        <v>0</v>
      </c>
      <c r="U161" s="149"/>
      <c r="V161" s="149"/>
      <c r="W161" s="149"/>
      <c r="X161" s="149"/>
    </row>
    <row r="162" spans="1:24" s="40" customFormat="1" x14ac:dyDescent="0.2">
      <c r="A162" s="36"/>
      <c r="C162" s="1"/>
      <c r="D162" s="95"/>
      <c r="E162" s="95"/>
      <c r="F162" s="95"/>
      <c r="G162" s="95"/>
      <c r="H162" s="95"/>
      <c r="I162" s="95"/>
      <c r="J162" s="95"/>
      <c r="K162" s="95"/>
      <c r="L162" s="95"/>
      <c r="M162" s="95"/>
      <c r="N162" s="95"/>
      <c r="O162" s="95"/>
      <c r="P162" s="95"/>
      <c r="Q162" s="95"/>
      <c r="R162" s="95"/>
    </row>
    <row r="163" spans="1:24" s="40" customFormat="1" x14ac:dyDescent="0.2">
      <c r="A163" s="36"/>
      <c r="C163" s="1"/>
      <c r="D163" s="95"/>
      <c r="E163" s="95"/>
      <c r="F163" s="95"/>
      <c r="G163" s="95"/>
      <c r="H163" s="95"/>
      <c r="I163" s="95"/>
      <c r="J163" s="95"/>
      <c r="K163" s="95"/>
      <c r="L163" s="95"/>
      <c r="M163" s="95"/>
      <c r="N163" s="95"/>
      <c r="O163" s="95"/>
      <c r="P163" s="95"/>
      <c r="Q163" s="95"/>
      <c r="R163" s="95"/>
    </row>
    <row r="164" spans="1:24" s="40" customFormat="1" x14ac:dyDescent="0.2">
      <c r="A164" s="36"/>
      <c r="C164" s="1"/>
      <c r="D164" s="95"/>
      <c r="E164" s="95"/>
      <c r="F164" s="95"/>
      <c r="G164" s="95"/>
      <c r="H164" s="95"/>
      <c r="I164" s="95"/>
      <c r="J164" s="95"/>
      <c r="K164" s="95"/>
      <c r="L164" s="95"/>
      <c r="M164" s="95"/>
      <c r="N164" s="95"/>
      <c r="O164" s="95"/>
      <c r="P164" s="95"/>
      <c r="Q164" s="95"/>
      <c r="R164" s="95"/>
    </row>
    <row r="165" spans="1:24" s="40" customFormat="1" x14ac:dyDescent="0.2">
      <c r="A165" s="36"/>
      <c r="C165" s="1"/>
      <c r="D165" s="95"/>
      <c r="E165" s="95"/>
      <c r="F165" s="95"/>
      <c r="G165" s="95"/>
      <c r="H165" s="95"/>
      <c r="I165" s="95"/>
      <c r="J165" s="95"/>
      <c r="K165" s="95"/>
      <c r="L165" s="95"/>
      <c r="M165" s="95"/>
      <c r="N165" s="95"/>
      <c r="O165" s="95"/>
      <c r="P165" s="95"/>
      <c r="Q165" s="95"/>
      <c r="R165" s="95"/>
    </row>
    <row r="166" spans="1:24" s="40" customFormat="1" x14ac:dyDescent="0.2">
      <c r="A166" s="36"/>
      <c r="C166" s="1"/>
      <c r="D166" s="95"/>
      <c r="E166" s="95"/>
      <c r="F166" s="95"/>
      <c r="G166" s="95"/>
      <c r="H166" s="95"/>
      <c r="I166" s="95"/>
      <c r="J166" s="95"/>
      <c r="K166" s="95"/>
      <c r="L166" s="95"/>
      <c r="M166" s="95"/>
      <c r="N166" s="95"/>
      <c r="O166" s="95"/>
      <c r="P166" s="95"/>
      <c r="Q166" s="95"/>
      <c r="R166" s="95"/>
    </row>
    <row r="167" spans="1:24" s="40" customFormat="1" x14ac:dyDescent="0.2">
      <c r="A167" s="36"/>
      <c r="C167" s="1"/>
      <c r="D167" s="95"/>
      <c r="E167" s="95"/>
      <c r="F167" s="95"/>
      <c r="G167" s="95"/>
      <c r="H167" s="95"/>
      <c r="I167" s="95"/>
      <c r="J167" s="95"/>
      <c r="K167" s="95"/>
      <c r="L167" s="95"/>
      <c r="M167" s="95"/>
      <c r="N167" s="95"/>
      <c r="O167" s="95"/>
      <c r="P167" s="95"/>
      <c r="Q167" s="95"/>
      <c r="R167" s="95"/>
    </row>
    <row r="168" spans="1:24" s="40" customFormat="1" x14ac:dyDescent="0.2">
      <c r="A168" s="36"/>
      <c r="C168" s="1"/>
      <c r="D168" s="95"/>
      <c r="E168" s="95"/>
      <c r="F168" s="95"/>
      <c r="G168" s="95"/>
      <c r="H168" s="95"/>
      <c r="I168" s="95"/>
      <c r="J168" s="95"/>
      <c r="K168" s="95"/>
      <c r="L168" s="95"/>
      <c r="M168" s="95"/>
      <c r="N168" s="95"/>
      <c r="O168" s="95"/>
      <c r="P168" s="95"/>
      <c r="Q168" s="95"/>
      <c r="R168" s="95"/>
    </row>
    <row r="169" spans="1:24" s="40" customFormat="1" x14ac:dyDescent="0.2">
      <c r="A169" s="36"/>
      <c r="C169" s="1"/>
      <c r="D169" s="95"/>
      <c r="E169" s="95"/>
      <c r="F169" s="95"/>
      <c r="G169" s="95"/>
      <c r="H169" s="95"/>
      <c r="I169" s="95"/>
      <c r="J169" s="95"/>
      <c r="K169" s="95"/>
      <c r="L169" s="95"/>
      <c r="M169" s="95"/>
      <c r="N169" s="95"/>
      <c r="O169" s="95"/>
      <c r="P169" s="95"/>
      <c r="Q169" s="95"/>
      <c r="R169" s="95"/>
    </row>
  </sheetData>
  <pageMargins left="0.25" right="0.25" top="0.5" bottom="0.5" header="0.25" footer="0.25"/>
  <pageSetup scale="64" fitToHeight="3" orientation="landscape" r:id="rId1"/>
  <headerFooter alignWithMargins="0">
    <oddHeader>&amp;A</oddHeader>
    <oddFooter>Page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pageSetUpPr fitToPage="1"/>
  </sheetPr>
  <dimension ref="A1:S172"/>
  <sheetViews>
    <sheetView workbookViewId="0">
      <pane xSplit="3" ySplit="6" topLeftCell="D11" activePane="bottomRight" state="frozen"/>
      <selection activeCell="C22" sqref="C22"/>
      <selection pane="topRight" activeCell="C22" sqref="C22"/>
      <selection pane="bottomLeft" activeCell="C22" sqref="C22"/>
      <selection pane="bottomRight" activeCell="G15" sqref="G15"/>
    </sheetView>
  </sheetViews>
  <sheetFormatPr baseColWidth="10" defaultColWidth="8.83203125" defaultRowHeight="16" outlineLevelRow="1" x14ac:dyDescent="0.2"/>
  <cols>
    <col min="1" max="1" width="5.6640625" style="35" customWidth="1"/>
    <col min="2" max="2" width="5.1640625" style="40" customWidth="1"/>
    <col min="3" max="3" width="42.5" style="1" customWidth="1"/>
    <col min="4" max="18" width="12.5" style="95" customWidth="1"/>
    <col min="19" max="19" width="10.33203125" style="1" bestFit="1" customWidth="1"/>
    <col min="20" max="255" width="8.83203125" style="1"/>
    <col min="256" max="256" width="22.83203125" style="1" customWidth="1"/>
    <col min="257" max="511" width="8.83203125" style="1"/>
    <col min="512" max="512" width="22.83203125" style="1" customWidth="1"/>
    <col min="513" max="767" width="8.83203125" style="1"/>
    <col min="768" max="768" width="22.83203125" style="1" customWidth="1"/>
    <col min="769" max="1023" width="8.83203125" style="1"/>
    <col min="1024" max="1024" width="22.83203125" style="1" customWidth="1"/>
    <col min="1025" max="1279" width="8.83203125" style="1"/>
    <col min="1280" max="1280" width="22.83203125" style="1" customWidth="1"/>
    <col min="1281" max="1535" width="8.83203125" style="1"/>
    <col min="1536" max="1536" width="22.83203125" style="1" customWidth="1"/>
    <col min="1537" max="1791" width="8.83203125" style="1"/>
    <col min="1792" max="1792" width="22.83203125" style="1" customWidth="1"/>
    <col min="1793" max="2047" width="8.83203125" style="1"/>
    <col min="2048" max="2048" width="22.83203125" style="1" customWidth="1"/>
    <col min="2049" max="2303" width="8.83203125" style="1"/>
    <col min="2304" max="2304" width="22.83203125" style="1" customWidth="1"/>
    <col min="2305" max="2559" width="8.83203125" style="1"/>
    <col min="2560" max="2560" width="22.83203125" style="1" customWidth="1"/>
    <col min="2561" max="2815" width="8.83203125" style="1"/>
    <col min="2816" max="2816" width="22.83203125" style="1" customWidth="1"/>
    <col min="2817" max="3071" width="8.83203125" style="1"/>
    <col min="3072" max="3072" width="22.83203125" style="1" customWidth="1"/>
    <col min="3073" max="3327" width="8.83203125" style="1"/>
    <col min="3328" max="3328" width="22.83203125" style="1" customWidth="1"/>
    <col min="3329" max="3583" width="8.83203125" style="1"/>
    <col min="3584" max="3584" width="22.83203125" style="1" customWidth="1"/>
    <col min="3585" max="3839" width="8.83203125" style="1"/>
    <col min="3840" max="3840" width="22.83203125" style="1" customWidth="1"/>
    <col min="3841" max="4095" width="8.83203125" style="1"/>
    <col min="4096" max="4096" width="22.83203125" style="1" customWidth="1"/>
    <col min="4097" max="4351" width="8.83203125" style="1"/>
    <col min="4352" max="4352" width="22.83203125" style="1" customWidth="1"/>
    <col min="4353" max="4607" width="8.83203125" style="1"/>
    <col min="4608" max="4608" width="22.83203125" style="1" customWidth="1"/>
    <col min="4609" max="4863" width="8.83203125" style="1"/>
    <col min="4864" max="4864" width="22.83203125" style="1" customWidth="1"/>
    <col min="4865" max="5119" width="8.83203125" style="1"/>
    <col min="5120" max="5120" width="22.83203125" style="1" customWidth="1"/>
    <col min="5121" max="5375" width="8.83203125" style="1"/>
    <col min="5376" max="5376" width="22.83203125" style="1" customWidth="1"/>
    <col min="5377" max="5631" width="8.83203125" style="1"/>
    <col min="5632" max="5632" width="22.83203125" style="1" customWidth="1"/>
    <col min="5633" max="5887" width="8.83203125" style="1"/>
    <col min="5888" max="5888" width="22.83203125" style="1" customWidth="1"/>
    <col min="5889" max="6143" width="8.83203125" style="1"/>
    <col min="6144" max="6144" width="22.83203125" style="1" customWidth="1"/>
    <col min="6145" max="6399" width="8.83203125" style="1"/>
    <col min="6400" max="6400" width="22.83203125" style="1" customWidth="1"/>
    <col min="6401" max="6655" width="8.83203125" style="1"/>
    <col min="6656" max="6656" width="22.83203125" style="1" customWidth="1"/>
    <col min="6657" max="6911" width="8.83203125" style="1"/>
    <col min="6912" max="6912" width="22.83203125" style="1" customWidth="1"/>
    <col min="6913" max="7167" width="8.83203125" style="1"/>
    <col min="7168" max="7168" width="22.83203125" style="1" customWidth="1"/>
    <col min="7169" max="7423" width="8.83203125" style="1"/>
    <col min="7424" max="7424" width="22.83203125" style="1" customWidth="1"/>
    <col min="7425" max="7679" width="8.83203125" style="1"/>
    <col min="7680" max="7680" width="22.83203125" style="1" customWidth="1"/>
    <col min="7681" max="7935" width="8.83203125" style="1"/>
    <col min="7936" max="7936" width="22.83203125" style="1" customWidth="1"/>
    <col min="7937" max="8191" width="8.83203125" style="1"/>
    <col min="8192" max="8192" width="22.83203125" style="1" customWidth="1"/>
    <col min="8193" max="8447" width="8.83203125" style="1"/>
    <col min="8448" max="8448" width="22.83203125" style="1" customWidth="1"/>
    <col min="8449" max="8703" width="8.83203125" style="1"/>
    <col min="8704" max="8704" width="22.83203125" style="1" customWidth="1"/>
    <col min="8705" max="8959" width="8.83203125" style="1"/>
    <col min="8960" max="8960" width="22.83203125" style="1" customWidth="1"/>
    <col min="8961" max="9215" width="8.83203125" style="1"/>
    <col min="9216" max="9216" width="22.83203125" style="1" customWidth="1"/>
    <col min="9217" max="9471" width="8.83203125" style="1"/>
    <col min="9472" max="9472" width="22.83203125" style="1" customWidth="1"/>
    <col min="9473" max="9727" width="8.83203125" style="1"/>
    <col min="9728" max="9728" width="22.83203125" style="1" customWidth="1"/>
    <col min="9729" max="9983" width="8.83203125" style="1"/>
    <col min="9984" max="9984" width="22.83203125" style="1" customWidth="1"/>
    <col min="9985" max="10239" width="8.83203125" style="1"/>
    <col min="10240" max="10240" width="22.83203125" style="1" customWidth="1"/>
    <col min="10241" max="10495" width="8.83203125" style="1"/>
    <col min="10496" max="10496" width="22.83203125" style="1" customWidth="1"/>
    <col min="10497" max="10751" width="8.83203125" style="1"/>
    <col min="10752" max="10752" width="22.83203125" style="1" customWidth="1"/>
    <col min="10753" max="11007" width="8.83203125" style="1"/>
    <col min="11008" max="11008" width="22.83203125" style="1" customWidth="1"/>
    <col min="11009" max="11263" width="8.83203125" style="1"/>
    <col min="11264" max="11264" width="22.83203125" style="1" customWidth="1"/>
    <col min="11265" max="11519" width="8.83203125" style="1"/>
    <col min="11520" max="11520" width="22.83203125" style="1" customWidth="1"/>
    <col min="11521" max="11775" width="8.83203125" style="1"/>
    <col min="11776" max="11776" width="22.83203125" style="1" customWidth="1"/>
    <col min="11777" max="12031" width="8.83203125" style="1"/>
    <col min="12032" max="12032" width="22.83203125" style="1" customWidth="1"/>
    <col min="12033" max="12287" width="8.83203125" style="1"/>
    <col min="12288" max="12288" width="22.83203125" style="1" customWidth="1"/>
    <col min="12289" max="12543" width="8.83203125" style="1"/>
    <col min="12544" max="12544" width="22.83203125" style="1" customWidth="1"/>
    <col min="12545" max="12799" width="8.83203125" style="1"/>
    <col min="12800" max="12800" width="22.83203125" style="1" customWidth="1"/>
    <col min="12801" max="13055" width="8.83203125" style="1"/>
    <col min="13056" max="13056" width="22.83203125" style="1" customWidth="1"/>
    <col min="13057" max="13311" width="8.83203125" style="1"/>
    <col min="13312" max="13312" width="22.83203125" style="1" customWidth="1"/>
    <col min="13313" max="13567" width="8.83203125" style="1"/>
    <col min="13568" max="13568" width="22.83203125" style="1" customWidth="1"/>
    <col min="13569" max="13823" width="8.83203125" style="1"/>
    <col min="13824" max="13824" width="22.83203125" style="1" customWidth="1"/>
    <col min="13825" max="14079" width="8.83203125" style="1"/>
    <col min="14080" max="14080" width="22.83203125" style="1" customWidth="1"/>
    <col min="14081" max="14335" width="8.83203125" style="1"/>
    <col min="14336" max="14336" width="22.83203125" style="1" customWidth="1"/>
    <col min="14337" max="14591" width="8.83203125" style="1"/>
    <col min="14592" max="14592" width="22.83203125" style="1" customWidth="1"/>
    <col min="14593" max="14847" width="8.83203125" style="1"/>
    <col min="14848" max="14848" width="22.83203125" style="1" customWidth="1"/>
    <col min="14849" max="15103" width="8.83203125" style="1"/>
    <col min="15104" max="15104" width="22.83203125" style="1" customWidth="1"/>
    <col min="15105" max="15359" width="8.83203125" style="1"/>
    <col min="15360" max="15360" width="22.83203125" style="1" customWidth="1"/>
    <col min="15361" max="15615" width="8.83203125" style="1"/>
    <col min="15616" max="15616" width="22.83203125" style="1" customWidth="1"/>
    <col min="15617" max="15871" width="8.83203125" style="1"/>
    <col min="15872" max="15872" width="22.83203125" style="1" customWidth="1"/>
    <col min="15873" max="16127" width="8.83203125" style="1"/>
    <col min="16128" max="16128" width="22.83203125" style="1" customWidth="1"/>
    <col min="16129" max="16384" width="8.83203125" style="1"/>
  </cols>
  <sheetData>
    <row r="1" spans="1:19" ht="20" x14ac:dyDescent="0.2">
      <c r="A1" s="22" t="str">
        <f>'Student Info'!$A$1</f>
        <v>Three Rivers Charter School</v>
      </c>
    </row>
    <row r="2" spans="1:19" ht="18" x14ac:dyDescent="0.2">
      <c r="A2" s="21" t="s">
        <v>820</v>
      </c>
    </row>
    <row r="3" spans="1:19" ht="18" x14ac:dyDescent="0.2">
      <c r="A3" s="21" t="str">
        <f>'Student Info'!D7</f>
        <v>2015-16</v>
      </c>
    </row>
    <row r="5" spans="1:19" ht="18" x14ac:dyDescent="0.2">
      <c r="A5" s="29"/>
      <c r="B5" s="41"/>
      <c r="C5" s="29"/>
      <c r="D5" s="96"/>
      <c r="E5" s="96"/>
      <c r="F5" s="96"/>
      <c r="G5" s="96"/>
      <c r="H5" s="96"/>
      <c r="I5" s="96"/>
      <c r="J5" s="96"/>
      <c r="K5" s="96"/>
      <c r="L5" s="96"/>
      <c r="M5" s="96"/>
      <c r="N5" s="96"/>
      <c r="O5" s="96"/>
      <c r="P5" s="96"/>
      <c r="Q5" s="96"/>
      <c r="R5" s="96"/>
    </row>
    <row r="6" spans="1:19" ht="19" thickBot="1" x14ac:dyDescent="0.25">
      <c r="A6" s="30"/>
      <c r="B6" s="42" t="s">
        <v>728</v>
      </c>
      <c r="C6" s="30" t="s">
        <v>729</v>
      </c>
      <c r="D6" s="106" t="s">
        <v>805</v>
      </c>
      <c r="E6" s="106" t="s">
        <v>806</v>
      </c>
      <c r="F6" s="106" t="s">
        <v>807</v>
      </c>
      <c r="G6" s="106" t="s">
        <v>808</v>
      </c>
      <c r="H6" s="106" t="s">
        <v>809</v>
      </c>
      <c r="I6" s="106" t="s">
        <v>810</v>
      </c>
      <c r="J6" s="106" t="s">
        <v>811</v>
      </c>
      <c r="K6" s="106" t="s">
        <v>812</v>
      </c>
      <c r="L6" s="106" t="s">
        <v>813</v>
      </c>
      <c r="M6" s="106" t="s">
        <v>814</v>
      </c>
      <c r="N6" s="106" t="s">
        <v>815</v>
      </c>
      <c r="O6" s="106" t="s">
        <v>816</v>
      </c>
      <c r="P6" s="106" t="s">
        <v>805</v>
      </c>
      <c r="Q6" s="106" t="s">
        <v>806</v>
      </c>
      <c r="R6" s="106" t="s">
        <v>807</v>
      </c>
      <c r="S6" s="106" t="s">
        <v>677</v>
      </c>
    </row>
    <row r="7" spans="1:19" ht="18" x14ac:dyDescent="0.2">
      <c r="A7" s="47" t="s">
        <v>794</v>
      </c>
      <c r="B7" s="87"/>
      <c r="D7" s="31"/>
      <c r="F7" s="97"/>
      <c r="G7" s="97"/>
      <c r="H7" s="97"/>
      <c r="I7" s="31"/>
      <c r="J7" s="31"/>
      <c r="K7" s="97"/>
      <c r="L7" s="97"/>
      <c r="M7" s="97"/>
      <c r="N7" s="97"/>
      <c r="O7" s="97"/>
      <c r="P7" s="97"/>
      <c r="Q7" s="97"/>
      <c r="R7" s="97"/>
    </row>
    <row r="8" spans="1:19" ht="18" hidden="1" x14ac:dyDescent="0.2">
      <c r="A8" s="47"/>
      <c r="B8" s="87"/>
      <c r="C8" s="125" t="s">
        <v>821</v>
      </c>
      <c r="D8" s="110"/>
      <c r="F8" s="97"/>
      <c r="G8" s="97"/>
      <c r="H8" s="97"/>
      <c r="I8" s="31"/>
      <c r="J8" s="31"/>
      <c r="K8" s="97"/>
      <c r="L8" s="97"/>
      <c r="M8" s="97"/>
      <c r="N8" s="97"/>
      <c r="O8" s="97"/>
      <c r="P8" s="97"/>
      <c r="Q8" s="97"/>
      <c r="R8" s="97"/>
    </row>
    <row r="9" spans="1:19" ht="18" hidden="1" x14ac:dyDescent="0.2">
      <c r="A9" s="47"/>
      <c r="B9" s="87"/>
      <c r="C9" s="89"/>
      <c r="D9" s="99"/>
      <c r="E9" s="114"/>
      <c r="F9" s="114"/>
      <c r="G9" s="114"/>
      <c r="H9" s="114"/>
      <c r="I9" s="114"/>
      <c r="J9" s="114"/>
      <c r="K9" s="114"/>
      <c r="L9" s="115"/>
      <c r="M9" s="114"/>
      <c r="N9" s="114"/>
      <c r="O9" s="115"/>
      <c r="P9" s="114"/>
      <c r="Q9" s="112"/>
      <c r="R9" s="112"/>
      <c r="S9" s="111"/>
    </row>
    <row r="10" spans="1:19" ht="18" hidden="1" x14ac:dyDescent="0.2">
      <c r="A10" s="47"/>
      <c r="B10" s="87"/>
      <c r="C10" s="89"/>
      <c r="D10" s="99"/>
      <c r="E10" s="116"/>
      <c r="F10" s="116"/>
      <c r="G10" s="114"/>
      <c r="H10" s="116"/>
      <c r="I10" s="116"/>
      <c r="J10" s="114"/>
      <c r="K10" s="116"/>
      <c r="L10" s="115"/>
      <c r="M10" s="117"/>
      <c r="N10" s="117"/>
      <c r="O10" s="117"/>
      <c r="P10" s="118"/>
      <c r="Q10" s="99"/>
      <c r="R10" s="112"/>
      <c r="S10" s="111"/>
    </row>
    <row r="11" spans="1:19" s="31" customFormat="1" ht="18" x14ac:dyDescent="0.2">
      <c r="B11" s="70" t="s">
        <v>779</v>
      </c>
      <c r="C11" s="49"/>
      <c r="D11" s="98"/>
      <c r="E11" s="98"/>
      <c r="F11" s="98"/>
      <c r="G11" s="98"/>
      <c r="H11" s="98"/>
      <c r="I11" s="98"/>
      <c r="J11" s="98"/>
      <c r="K11" s="98"/>
      <c r="L11" s="98"/>
      <c r="M11" s="98"/>
      <c r="N11" s="98"/>
      <c r="O11" s="98"/>
      <c r="P11" s="98"/>
      <c r="Q11" s="98"/>
      <c r="R11" s="98"/>
    </row>
    <row r="12" spans="1:19" s="31" customFormat="1" x14ac:dyDescent="0.2">
      <c r="A12" s="50"/>
      <c r="B12" s="65" t="str">
        <f>'Revenue Input'!B8</f>
        <v>8011</v>
      </c>
      <c r="C12" s="65" t="str">
        <f>'Revenue Input'!C8</f>
        <v>LCFF for all grades; state aid portion</v>
      </c>
      <c r="D12" s="64">
        <v>18342</v>
      </c>
      <c r="E12" s="64">
        <v>18342</v>
      </c>
      <c r="F12" s="64">
        <v>33016</v>
      </c>
      <c r="G12" s="64">
        <v>33016</v>
      </c>
      <c r="H12" s="64">
        <v>33016</v>
      </c>
      <c r="I12" s="64">
        <v>33016</v>
      </c>
      <c r="J12" s="64">
        <v>33016</v>
      </c>
      <c r="K12" s="64">
        <v>37532.6</v>
      </c>
      <c r="L12" s="64">
        <v>37532.6</v>
      </c>
      <c r="M12" s="64">
        <v>37532.6</v>
      </c>
      <c r="N12" s="64">
        <v>37532.6</v>
      </c>
      <c r="O12" s="64">
        <v>37532.6</v>
      </c>
      <c r="P12" s="64"/>
      <c r="Q12" s="64"/>
      <c r="R12" s="64">
        <f>IF('Revenue Input'!$D8="","",IF('Cash Flow %s Yr1'!R12="","",'Cash Flow %s Yr1'!R12*'Revenue Input'!$D8))</f>
        <v>0</v>
      </c>
      <c r="S12" s="111">
        <f>IF(SUM(D12:R12)&gt;0,SUM(D12:R12)/'Revenue Input'!$D8,"")</f>
        <v>1.0162057360712322</v>
      </c>
    </row>
    <row r="13" spans="1:19" s="31" customFormat="1" x14ac:dyDescent="0.2">
      <c r="A13" s="50"/>
      <c r="B13" s="65" t="str">
        <f>'Revenue Input'!B9</f>
        <v>8012</v>
      </c>
      <c r="C13" s="65" t="str">
        <f>'Revenue Input'!C9</f>
        <v>LCFF for all grades; EPA portion</v>
      </c>
      <c r="D13" s="64">
        <f>IF('Revenue Input'!$D9="","",IF('Cash Flow %s Yr1'!D13="","",'Cash Flow %s Yr1'!D13*'Revenue Input'!$D9))</f>
        <v>0</v>
      </c>
      <c r="E13" s="64">
        <f>IF('Revenue Input'!$D9="","",IF('Cash Flow %s Yr1'!E13="","",'Cash Flow %s Yr1'!E13*'Revenue Input'!$D9))</f>
        <v>0</v>
      </c>
      <c r="F13" s="64">
        <v>36289</v>
      </c>
      <c r="G13" s="64">
        <v>0</v>
      </c>
      <c r="H13" s="64">
        <f>IF('Revenue Input'!$D9="","",IF('Cash Flow %s Yr1'!H13="","",'Cash Flow %s Yr1'!H13*'Revenue Input'!$D9))</f>
        <v>0</v>
      </c>
      <c r="I13" s="64">
        <v>36289</v>
      </c>
      <c r="J13" s="64">
        <v>0</v>
      </c>
      <c r="K13" s="64">
        <f>IF('Revenue Input'!$D9="","",IF('Cash Flow %s Yr1'!K13="","",'Cash Flow %s Yr1'!K13*'Revenue Input'!$D9))</f>
        <v>0</v>
      </c>
      <c r="L13" s="64">
        <v>39023.5</v>
      </c>
      <c r="M13" s="64">
        <v>0</v>
      </c>
      <c r="N13" s="64">
        <f>IF('Revenue Input'!$D9="","",IF('Cash Flow %s Yr1'!N13="","",'Cash Flow %s Yr1'!N13*'Revenue Input'!$D9))</f>
        <v>0</v>
      </c>
      <c r="O13" s="64">
        <v>39023.5</v>
      </c>
      <c r="P13" s="64">
        <v>0</v>
      </c>
      <c r="Q13" s="64">
        <f>IF('Revenue Input'!$D9="","",IF('Cash Flow %s Yr1'!Q13="","",'Cash Flow %s Yr1'!Q13*'Revenue Input'!$D9))</f>
        <v>0</v>
      </c>
      <c r="R13" s="64">
        <f>IF('Revenue Input'!$D9="","",IF('Cash Flow %s Yr1'!R13="","",'Cash Flow %s Yr1'!R13*'Revenue Input'!$D9))</f>
        <v>0</v>
      </c>
      <c r="S13" s="111">
        <f>IF(SUM(D13:R13)&gt;0,SUM(D13:R13)/'Revenue Input'!$D9,"")</f>
        <v>0.98959818461250104</v>
      </c>
    </row>
    <row r="14" spans="1:19" s="31" customFormat="1" x14ac:dyDescent="0.2">
      <c r="A14" s="50"/>
      <c r="B14" s="65" t="str">
        <f>'Revenue Input'!B10</f>
        <v>8096</v>
      </c>
      <c r="C14" s="65" t="str">
        <f>'Revenue Input'!C10</f>
        <v>In-Lieu of Property Taxes, all grades</v>
      </c>
      <c r="D14" s="64">
        <f>IF('Revenue Input'!$D10="","",IF('Cash Flow %s Yr1'!D14="","",'Cash Flow %s Yr1'!D14*'Revenue Input'!$D10))</f>
        <v>19996.106819999997</v>
      </c>
      <c r="E14" s="64">
        <f>IF('Revenue Input'!$D10="","",IF('Cash Flow %s Yr1'!E14="","",'Cash Flow %s Yr1'!E14*'Revenue Input'!$D10))</f>
        <v>39992.213639999994</v>
      </c>
      <c r="F14" s="64">
        <f>IF('Revenue Input'!$D10="","",IF('Cash Flow %s Yr1'!F14="","",'Cash Flow %s Yr1'!F14*'Revenue Input'!$D10))</f>
        <v>26661.475760000001</v>
      </c>
      <c r="G14" s="64">
        <f>IF('Revenue Input'!$D10="","",IF('Cash Flow %s Yr1'!G14="","",'Cash Flow %s Yr1'!G14*'Revenue Input'!$D10))</f>
        <v>26661.475760000001</v>
      </c>
      <c r="H14" s="64">
        <f>IF('Revenue Input'!$D10="","",IF('Cash Flow %s Yr1'!H14="","",'Cash Flow %s Yr1'!H14*'Revenue Input'!$D10))</f>
        <v>26661.475760000001</v>
      </c>
      <c r="I14" s="64">
        <f>IF('Revenue Input'!$D10="","",IF('Cash Flow %s Yr1'!I14="","",'Cash Flow %s Yr1'!I14*'Revenue Input'!$D10))</f>
        <v>26661.475760000001</v>
      </c>
      <c r="J14" s="64">
        <f>IF('Revenue Input'!$D10="","",IF('Cash Flow %s Yr1'!J14="","",'Cash Flow %s Yr1'!J14*'Revenue Input'!$D10))</f>
        <v>26661.475760000001</v>
      </c>
      <c r="K14" s="64">
        <f>IF('Revenue Input'!$D10="","",IF('Cash Flow %s Yr1'!K14="","",'Cash Flow %s Yr1'!K14*'Revenue Input'!$D10))</f>
        <v>46657.582580000002</v>
      </c>
      <c r="L14" s="64">
        <f>IF('Revenue Input'!$D10="","",IF('Cash Flow %s Yr1'!L14="","",'Cash Flow %s Yr1'!L14*'Revenue Input'!$D10))</f>
        <v>23328.791290000001</v>
      </c>
      <c r="M14" s="64">
        <f>IF('Revenue Input'!$D10="","",IF('Cash Flow %s Yr1'!M14="","",'Cash Flow %s Yr1'!M14*'Revenue Input'!$D10))</f>
        <v>23328.791290000001</v>
      </c>
      <c r="N14" s="64">
        <f>IF('Revenue Input'!$D10="","",IF('Cash Flow %s Yr1'!N14="","",'Cash Flow %s Yr1'!N14*'Revenue Input'!$D10))</f>
        <v>23328.791290000001</v>
      </c>
      <c r="O14" s="64">
        <f>IF('Revenue Input'!$D10="","",IF('Cash Flow %s Yr1'!O14="","",'Cash Flow %s Yr1'!O14*'Revenue Input'!$D10))</f>
        <v>23328.791290000001</v>
      </c>
      <c r="P14" s="64">
        <f>IF('Revenue Input'!$D10="","",IF('Cash Flow %s Yr1'!P14="","",'Cash Flow %s Yr1'!P14*'Revenue Input'!$D10))</f>
        <v>0</v>
      </c>
      <c r="Q14" s="64">
        <f>IF('Revenue Input'!$D10="","",IF('Cash Flow %s Yr1'!Q14="","",'Cash Flow %s Yr1'!Q14*'Revenue Input'!$D10))</f>
        <v>0</v>
      </c>
      <c r="R14" s="64">
        <f>IF('Revenue Input'!$D10="","",IF('Cash Flow %s Yr1'!R14="","",'Cash Flow %s Yr1'!R14*'Revenue Input'!$D10))</f>
        <v>0</v>
      </c>
      <c r="S14" s="111">
        <f>IF(SUM(D14:R14)&gt;0,SUM(D14:R14)/'Revenue Input'!$D10,"")</f>
        <v>1.0000000000000004</v>
      </c>
    </row>
    <row r="15" spans="1:19" s="31" customFormat="1" x14ac:dyDescent="0.2">
      <c r="A15" s="50"/>
      <c r="B15" s="65" t="str">
        <f>'Revenue Input'!B11</f>
        <v>8599</v>
      </c>
      <c r="C15" s="65" t="str">
        <f>'Revenue Input'!C11</f>
        <v>Prior Year Income / Adjustments</v>
      </c>
      <c r="D15" s="64">
        <f>IF('Revenue Input'!$D11="","",IF('Cash Flow %s Yr1'!D15="","",'Cash Flow %s Yr1'!D15*'Revenue Input'!$D11))</f>
        <v>1376.6666666666665</v>
      </c>
      <c r="E15" s="64">
        <f>IF('Revenue Input'!$D11="","",IF('Cash Flow %s Yr1'!E15="","",'Cash Flow %s Yr1'!E15*'Revenue Input'!$D11))</f>
        <v>688.33333333333326</v>
      </c>
      <c r="F15" s="64">
        <f>IF('Revenue Input'!$D11="","",IF('Cash Flow %s Yr1'!F15="","",'Cash Flow %s Yr1'!F15*'Revenue Input'!$D11))</f>
        <v>0</v>
      </c>
      <c r="G15" s="64" t="str">
        <f>IF('Revenue Input'!$D11="","",IF('Cash Flow %s Yr1'!G15="","",'Cash Flow %s Yr1'!G15*'Revenue Input'!$D11))</f>
        <v/>
      </c>
      <c r="H15" s="64" t="str">
        <f>IF('Revenue Input'!$D11="","",IF('Cash Flow %s Yr1'!H15="","",'Cash Flow %s Yr1'!H15*'Revenue Input'!$D11))</f>
        <v/>
      </c>
      <c r="I15" s="64" t="str">
        <f>IF('Revenue Input'!$D11="","",IF('Cash Flow %s Yr1'!I15="","",'Cash Flow %s Yr1'!I15*'Revenue Input'!$D11))</f>
        <v/>
      </c>
      <c r="J15" s="64" t="str">
        <f>IF('Revenue Input'!$D11="","",IF('Cash Flow %s Yr1'!J15="","",'Cash Flow %s Yr1'!J15*'Revenue Input'!$D11))</f>
        <v/>
      </c>
      <c r="K15" s="64" t="str">
        <f>IF('Revenue Input'!$D11="","",IF('Cash Flow %s Yr1'!K15="","",'Cash Flow %s Yr1'!K15*'Revenue Input'!$D11))</f>
        <v/>
      </c>
      <c r="L15" s="64" t="str">
        <f>IF('Revenue Input'!$D11="","",IF('Cash Flow %s Yr1'!L15="","",'Cash Flow %s Yr1'!L15*'Revenue Input'!$D11))</f>
        <v/>
      </c>
      <c r="M15" s="64" t="str">
        <f>IF('Revenue Input'!$D11="","",IF('Cash Flow %s Yr1'!M15="","",'Cash Flow %s Yr1'!M15*'Revenue Input'!$D11))</f>
        <v/>
      </c>
      <c r="N15" s="64" t="str">
        <f>IF('Revenue Input'!$D11="","",IF('Cash Flow %s Yr1'!N15="","",'Cash Flow %s Yr1'!N15*'Revenue Input'!$D11))</f>
        <v/>
      </c>
      <c r="O15" s="64" t="str">
        <f>IF('Revenue Input'!$D11="","",IF('Cash Flow %s Yr1'!O15="","0",'Cash Flow %s Yr1'!O15*'Revenue Input'!$D11))</f>
        <v>0</v>
      </c>
      <c r="P15" s="64" t="str">
        <f>IF('Revenue Input'!$D11="","",IF('Cash Flow %s Yr1'!P15="","0",'Cash Flow %s Yr1'!P15*'Revenue Input'!$D11))</f>
        <v>0</v>
      </c>
      <c r="Q15" s="64" t="str">
        <f>IF('Revenue Input'!$D11="","",IF('Cash Flow %s Yr1'!Q15="","0",'Cash Flow %s Yr1'!Q15*'Revenue Input'!$D11))</f>
        <v>0</v>
      </c>
      <c r="R15" s="64" t="str">
        <f>IF('Revenue Input'!$D11="","",IF('Cash Flow %s Yr1'!R15="","0",'Cash Flow %s Yr1'!R15*'Revenue Input'!$D11))</f>
        <v>0</v>
      </c>
      <c r="S15" s="111">
        <f>IF(SUM(D15:R15)&gt;0,SUM(D15:R15)/'Revenue Input'!$D11,"")</f>
        <v>1</v>
      </c>
    </row>
    <row r="16" spans="1:19" s="31" customFormat="1" x14ac:dyDescent="0.2">
      <c r="A16" s="50"/>
      <c r="B16" s="65" t="str">
        <f>'Revenue Input'!B12</f>
        <v>8181</v>
      </c>
      <c r="C16" s="65" t="str">
        <f>'Revenue Input'!C12</f>
        <v>Special Education</v>
      </c>
      <c r="D16" s="64" t="str">
        <f>IF('Revenue Input'!$D12="","",IF('Cash Flow %s Yr1'!D16="","",'Cash Flow %s Yr1'!D16*'Revenue Input'!$D12))</f>
        <v/>
      </c>
      <c r="E16" s="64" t="str">
        <f>IF('Revenue Input'!$D12="","",IF('Cash Flow %s Yr1'!E16="","",'Cash Flow %s Yr1'!E16*'Revenue Input'!$D12))</f>
        <v/>
      </c>
      <c r="F16" s="64" t="str">
        <f>IF('Revenue Input'!$D12="","",IF('Cash Flow %s Yr1'!F16="","",'Cash Flow %s Yr1'!F16*'Revenue Input'!$D12))</f>
        <v/>
      </c>
      <c r="G16" s="64" t="str">
        <f>IF('Revenue Input'!$D12="","",IF('Cash Flow %s Yr1'!G16="","",'Cash Flow %s Yr1'!G16*'Revenue Input'!$D12))</f>
        <v/>
      </c>
      <c r="H16" s="64" t="str">
        <f>IF('Revenue Input'!$D12="","",IF('Cash Flow %s Yr1'!H16="","",'Cash Flow %s Yr1'!H16*'Revenue Input'!$D12))</f>
        <v/>
      </c>
      <c r="I16" s="64" t="str">
        <f>IF('Revenue Input'!$D12="","",IF('Cash Flow %s Yr1'!I16="","",'Cash Flow %s Yr1'!I16*'Revenue Input'!$D12))</f>
        <v/>
      </c>
      <c r="J16" s="64" t="str">
        <f>IF('Revenue Input'!$D12="","",IF('Cash Flow %s Yr1'!J16="","",'Cash Flow %s Yr1'!J16*'Revenue Input'!$D12))</f>
        <v/>
      </c>
      <c r="K16" s="64" t="str">
        <f>IF('Revenue Input'!$D12="","",IF('Cash Flow %s Yr1'!K16="","",'Cash Flow %s Yr1'!K16*'Revenue Input'!$D12))</f>
        <v/>
      </c>
      <c r="L16" s="64" t="str">
        <f>IF('Revenue Input'!$D12="","",IF('Cash Flow %s Yr1'!L16="","",'Cash Flow %s Yr1'!L16*'Revenue Input'!$D12))</f>
        <v/>
      </c>
      <c r="M16" s="64" t="str">
        <f>IF('Revenue Input'!$D12="","",IF('Cash Flow %s Yr1'!M16="","",'Cash Flow %s Yr1'!M16*'Revenue Input'!$D12))</f>
        <v/>
      </c>
      <c r="N16" s="64" t="str">
        <f>IF('Revenue Input'!$D12="","",IF('Cash Flow %s Yr1'!N16="","",'Cash Flow %s Yr1'!N16*'Revenue Input'!$D12))</f>
        <v/>
      </c>
      <c r="O16" s="64" t="str">
        <f>IF('Revenue Input'!$D12="","",IF('Cash Flow %s Yr1'!O16="","0",'Cash Flow %s Yr1'!O16*'Revenue Input'!$D12))</f>
        <v/>
      </c>
      <c r="P16" s="64" t="str">
        <f>IF('Revenue Input'!$D12="","",IF('Cash Flow %s Yr1'!P16="","0",'Cash Flow %s Yr1'!P16*'Revenue Input'!$D12))</f>
        <v/>
      </c>
      <c r="Q16" s="64" t="str">
        <f>IF('Revenue Input'!$D12="","",IF('Cash Flow %s Yr1'!Q16="","0",'Cash Flow %s Yr1'!Q16*'Revenue Input'!$D12))</f>
        <v/>
      </c>
      <c r="R16" s="64" t="str">
        <f>IF('Revenue Input'!$D12="","",IF('Cash Flow %s Yr1'!R16="","0",'Cash Flow %s Yr1'!R16*'Revenue Input'!$D12))</f>
        <v/>
      </c>
      <c r="S16" s="111" t="str">
        <f>IF(SUM(D16:R16)&gt;0,SUM(D16:R16)/'Revenue Input'!$D12,"")</f>
        <v/>
      </c>
    </row>
    <row r="17" spans="1:19" s="31" customFormat="1" x14ac:dyDescent="0.2">
      <c r="A17" s="50"/>
      <c r="B17" s="65" t="str">
        <f>'Revenue Input'!B13</f>
        <v>8560</v>
      </c>
      <c r="C17" s="65" t="str">
        <f>'Revenue Input'!C13</f>
        <v>Lottery</v>
      </c>
      <c r="D17" s="64">
        <f>IF('Revenue Input'!$D13="","",IF('Cash Flow %s Yr1'!D17="","",'Cash Flow %s Yr1'!D17*'Revenue Input'!$D13))</f>
        <v>0</v>
      </c>
      <c r="E17" s="64">
        <f>IF('Revenue Input'!$D13="","",IF('Cash Flow %s Yr1'!E17="","",'Cash Flow %s Yr1'!E17*'Revenue Input'!$D13))</f>
        <v>0</v>
      </c>
      <c r="F17" s="64">
        <f>IF('Revenue Input'!$D13="","",IF('Cash Flow %s Yr1'!F17="","",'Cash Flow %s Yr1'!F17*'Revenue Input'!$D13))</f>
        <v>0</v>
      </c>
      <c r="G17" s="64">
        <f>IF('Revenue Input'!$D13="","",IF('Cash Flow %s Yr1'!G17="","",'Cash Flow %s Yr1'!G17*'Revenue Input'!$D13))</f>
        <v>0</v>
      </c>
      <c r="H17" s="64">
        <f>IF('Revenue Input'!$D13="","",IF('Cash Flow %s Yr1'!H17="","",'Cash Flow %s Yr1'!H17*'Revenue Input'!$D13))</f>
        <v>0</v>
      </c>
      <c r="I17" s="64">
        <f>IF('Revenue Input'!$D13="","",IF('Cash Flow %s Yr1'!I17="","",'Cash Flow %s Yr1'!I17*'Revenue Input'!$D13))</f>
        <v>4942.2049999999999</v>
      </c>
      <c r="J17" s="64">
        <f>IF('Revenue Input'!$D13="","",IF('Cash Flow %s Yr1'!J17="","",'Cash Flow %s Yr1'!J17*'Revenue Input'!$D13))</f>
        <v>0</v>
      </c>
      <c r="K17" s="64">
        <f>IF('Revenue Input'!$D13="","",IF('Cash Flow %s Yr1'!K17="","",'Cash Flow %s Yr1'!K17*'Revenue Input'!$D13))</f>
        <v>4942.2049999999999</v>
      </c>
      <c r="L17" s="64">
        <f>IF('Revenue Input'!$D13="","",IF('Cash Flow %s Yr1'!L17="","",'Cash Flow %s Yr1'!L17*'Revenue Input'!$D13))</f>
        <v>0</v>
      </c>
      <c r="M17" s="64">
        <f>IF('Revenue Input'!$D13="","",IF('Cash Flow %s Yr1'!M17="","",'Cash Flow %s Yr1'!M17*'Revenue Input'!$D13))</f>
        <v>4942.2049999999999</v>
      </c>
      <c r="N17" s="64">
        <f>IF('Revenue Input'!$D13="","",IF('Cash Flow %s Yr1'!N17="","",'Cash Flow %s Yr1'!N17*'Revenue Input'!$D13))</f>
        <v>0</v>
      </c>
      <c r="O17" s="64">
        <f>IF('Revenue Input'!$D13="","",IF('Cash Flow %s Yr1'!O17="","0",'Cash Flow %s Yr1'!O17*'Revenue Input'!$D13))</f>
        <v>0</v>
      </c>
      <c r="P17" s="64">
        <f>IF('Revenue Input'!$D13="","",IF('Cash Flow %s Yr1'!P17="","0",'Cash Flow %s Yr1'!P17*'Revenue Input'!$D13))</f>
        <v>4942.2049999999999</v>
      </c>
      <c r="Q17" s="64">
        <f>IF('Revenue Input'!$D13="","",IF('Cash Flow %s Yr1'!Q17="","0",'Cash Flow %s Yr1'!Q17*'Revenue Input'!$D13))</f>
        <v>0</v>
      </c>
      <c r="R17" s="64">
        <f>IF('Revenue Input'!$D13="","",IF('Cash Flow %s Yr1'!R17="","0",'Cash Flow %s Yr1'!R17*'Revenue Input'!$D13))</f>
        <v>0</v>
      </c>
      <c r="S17" s="111">
        <f>IF(SUM(D17:R17)&gt;0,SUM(D17:R17)/'Revenue Input'!$D13,"")</f>
        <v>1</v>
      </c>
    </row>
    <row r="18" spans="1:19" s="31" customFormat="1" x14ac:dyDescent="0.2">
      <c r="A18" s="49"/>
      <c r="B18" s="65" t="str">
        <f>'Revenue Input'!B14</f>
        <v>8520</v>
      </c>
      <c r="C18" s="65" t="str">
        <f>'Revenue Input'!C14</f>
        <v>State Child Nutrition program</v>
      </c>
      <c r="D18" s="64" t="str">
        <f>IF('Revenue Input'!$D14="","",IF('Cash Flow %s Yr1'!D18="","",'Cash Flow %s Yr1'!D18*'Revenue Input'!$D14))</f>
        <v/>
      </c>
      <c r="E18" s="64" t="str">
        <f>IF('Revenue Input'!$D14="","",IF('Cash Flow %s Yr1'!E18="","",'Cash Flow %s Yr1'!E18*'Revenue Input'!$D14))</f>
        <v/>
      </c>
      <c r="F18" s="64" t="str">
        <f>IF('Revenue Input'!$D14="","",IF('Cash Flow %s Yr1'!F18="","",'Cash Flow %s Yr1'!F18*'Revenue Input'!$D14))</f>
        <v/>
      </c>
      <c r="G18" s="64" t="str">
        <f>IF('Revenue Input'!$D14="","",IF('Cash Flow %s Yr1'!G18="","",'Cash Flow %s Yr1'!G18*'Revenue Input'!$D14))</f>
        <v/>
      </c>
      <c r="H18" s="64" t="str">
        <f>IF('Revenue Input'!$D14="","",IF('Cash Flow %s Yr1'!H18="","",'Cash Flow %s Yr1'!H18*'Revenue Input'!$D14))</f>
        <v/>
      </c>
      <c r="I18" s="64" t="str">
        <f>IF('Revenue Input'!$D14="","",IF('Cash Flow %s Yr1'!I18="","",'Cash Flow %s Yr1'!I18*'Revenue Input'!$D14))</f>
        <v/>
      </c>
      <c r="J18" s="64" t="str">
        <f>IF('Revenue Input'!$D14="","",IF('Cash Flow %s Yr1'!J18="","",'Cash Flow %s Yr1'!J18*'Revenue Input'!$D14))</f>
        <v/>
      </c>
      <c r="K18" s="64" t="str">
        <f>IF('Revenue Input'!$D14="","",IF('Cash Flow %s Yr1'!K18="","",'Cash Flow %s Yr1'!K18*'Revenue Input'!$D14))</f>
        <v/>
      </c>
      <c r="L18" s="64" t="str">
        <f>IF('Revenue Input'!$D14="","",IF('Cash Flow %s Yr1'!L18="","",'Cash Flow %s Yr1'!L18*'Revenue Input'!$D14))</f>
        <v/>
      </c>
      <c r="M18" s="64" t="str">
        <f>IF('Revenue Input'!$D14="","",IF('Cash Flow %s Yr1'!M18="","",'Cash Flow %s Yr1'!M18*'Revenue Input'!$D14))</f>
        <v/>
      </c>
      <c r="N18" s="64" t="str">
        <f>IF('Revenue Input'!$D14="","",IF('Cash Flow %s Yr1'!N18="","",'Cash Flow %s Yr1'!N18*'Revenue Input'!$D14))</f>
        <v/>
      </c>
      <c r="O18" s="64" t="str">
        <f>IF('Revenue Input'!$D14="","",IF('Cash Flow %s Yr1'!O18="","0",'Cash Flow %s Yr1'!O18*'Revenue Input'!$D14))</f>
        <v/>
      </c>
      <c r="P18" s="64" t="str">
        <f>IF('Revenue Input'!$D14="","",IF('Cash Flow %s Yr1'!P18="","0",'Cash Flow %s Yr1'!P18*'Revenue Input'!$D14))</f>
        <v/>
      </c>
      <c r="Q18" s="64" t="str">
        <f>IF('Revenue Input'!$D14="","",IF('Cash Flow %s Yr1'!Q18="","0",'Cash Flow %s Yr1'!Q18*'Revenue Input'!$D14))</f>
        <v/>
      </c>
      <c r="R18" s="64" t="str">
        <f>IF('Revenue Input'!$D14="","",IF('Cash Flow %s Yr1'!R18="","0",'Cash Flow %s Yr1'!R18*'Revenue Input'!$D14))</f>
        <v/>
      </c>
      <c r="S18" s="111" t="str">
        <f>IF(SUM(D18:R18)&gt;0,SUM(D18:R18)/'Revenue Input'!$D14,"")</f>
        <v/>
      </c>
    </row>
    <row r="19" spans="1:19" s="31" customFormat="1" x14ac:dyDescent="0.2">
      <c r="A19" s="50"/>
      <c r="B19" s="65" t="str">
        <f>'Revenue Input'!B15</f>
        <v>8591</v>
      </c>
      <c r="C19" s="65" t="str">
        <f>'Revenue Input'!C15</f>
        <v>SB 740 Rent re-imbursement program</v>
      </c>
      <c r="D19" s="64">
        <f>IF('Revenue Input'!$D15="","",IF('Cash Flow %s Yr1'!D19="","",'Cash Flow %s Yr1'!D19*'Revenue Input'!$D15))</f>
        <v>0</v>
      </c>
      <c r="E19" s="64">
        <f>IF('Revenue Input'!$D15="","",IF('Cash Flow %s Yr1'!E19="","",'Cash Flow %s Yr1'!E19*'Revenue Input'!$D15))</f>
        <v>0</v>
      </c>
      <c r="F19" s="64">
        <f>IF('Revenue Input'!$D15="","",IF('Cash Flow %s Yr1'!F19="","",'Cash Flow %s Yr1'!F19*'Revenue Input'!$D15))</f>
        <v>0</v>
      </c>
      <c r="G19" s="64">
        <f>IF('Revenue Input'!$D15="","",IF('Cash Flow %s Yr1'!G19="","",'Cash Flow %s Yr1'!G19*'Revenue Input'!$D15))</f>
        <v>0</v>
      </c>
      <c r="H19" s="64">
        <f>IF('Revenue Input'!$D15="","",IF('Cash Flow %s Yr1'!H19="","",'Cash Flow %s Yr1'!H19*'Revenue Input'!$D15))</f>
        <v>9573.75</v>
      </c>
      <c r="I19" s="64">
        <f>IF('Revenue Input'!$D15="","",IF('Cash Flow %s Yr1'!I19="","",'Cash Flow %s Yr1'!I19*'Revenue Input'!$D15))</f>
        <v>0</v>
      </c>
      <c r="J19" s="64">
        <f>IF('Revenue Input'!$D15="","",IF('Cash Flow %s Yr1'!J19="","",'Cash Flow %s Yr1'!J19*'Revenue Input'!$D15))</f>
        <v>0</v>
      </c>
      <c r="K19" s="64">
        <f>IF('Revenue Input'!$D15="","",IF('Cash Flow %s Yr1'!K19="","",'Cash Flow %s Yr1'!K19*'Revenue Input'!$D15))</f>
        <v>9573.75</v>
      </c>
      <c r="L19" s="64">
        <f>IF('Revenue Input'!$D15="","",IF('Cash Flow %s Yr1'!L19="","",'Cash Flow %s Yr1'!L19*'Revenue Input'!$D15))</f>
        <v>0</v>
      </c>
      <c r="M19" s="64">
        <f>IF('Revenue Input'!$D15="","",IF('Cash Flow %s Yr1'!M19="","",'Cash Flow %s Yr1'!M19*'Revenue Input'!$D15))</f>
        <v>0</v>
      </c>
      <c r="N19" s="64">
        <f>IF('Revenue Input'!$D15="","",IF('Cash Flow %s Yr1'!N19="","",'Cash Flow %s Yr1'!N19*'Revenue Input'!$D15))</f>
        <v>9573.75</v>
      </c>
      <c r="O19" s="64">
        <f>IF('Revenue Input'!$D15="","",IF('Cash Flow %s Yr1'!O19="","0",'Cash Flow %s Yr1'!O19*'Revenue Input'!$D15))</f>
        <v>0</v>
      </c>
      <c r="P19" s="64">
        <f>IF('Revenue Input'!$D15="","",IF('Cash Flow %s Yr1'!P19="","0",'Cash Flow %s Yr1'!P19*'Revenue Input'!$D15))</f>
        <v>0</v>
      </c>
      <c r="Q19" s="64">
        <f>IF('Revenue Input'!$D15="","",IF('Cash Flow %s Yr1'!Q19="","0",'Cash Flow %s Yr1'!Q19*'Revenue Input'!$D15))</f>
        <v>9573.75</v>
      </c>
      <c r="R19" s="64">
        <f>IF('Revenue Input'!$D15="","",IF('Cash Flow %s Yr1'!R19="","0",'Cash Flow %s Yr1'!R19*'Revenue Input'!$D15))</f>
        <v>0</v>
      </c>
      <c r="S19" s="111">
        <f>IF(SUM(D19:R19)&gt;0,SUM(D19:R19)/'Revenue Input'!$D15,"")</f>
        <v>1</v>
      </c>
    </row>
    <row r="20" spans="1:19" s="31" customFormat="1" ht="18" x14ac:dyDescent="0.2">
      <c r="A20" s="47"/>
      <c r="B20" s="65" t="str">
        <f>'Revenue Input'!B16</f>
        <v>8590</v>
      </c>
      <c r="C20" s="65" t="str">
        <f>'Revenue Input'!C16</f>
        <v>Educator Effectiveness</v>
      </c>
      <c r="D20" s="64">
        <f>IF('Revenue Input'!$D16="","",IF('Cash Flow %s Yr1'!D20="","",'Cash Flow %s Yr1'!D20*'Revenue Input'!$D16))</f>
        <v>0</v>
      </c>
      <c r="E20" s="64">
        <f>IF('Revenue Input'!$D16="","",IF('Cash Flow %s Yr1'!E20="","",'Cash Flow %s Yr1'!E20*'Revenue Input'!$D16))</f>
        <v>0</v>
      </c>
      <c r="F20" s="64">
        <f>IF('Revenue Input'!$D16="","",IF('Cash Flow %s Yr1'!F20="","",'Cash Flow %s Yr1'!F20*'Revenue Input'!$D16))</f>
        <v>0</v>
      </c>
      <c r="G20" s="64">
        <f>IF('Revenue Input'!$D16="","",IF('Cash Flow %s Yr1'!G20="","",'Cash Flow %s Yr1'!G20*'Revenue Input'!$D16))</f>
        <v>0</v>
      </c>
      <c r="H20" s="64">
        <f>IF('Revenue Input'!$D16="","",IF('Cash Flow %s Yr1'!H20="","",'Cash Flow %s Yr1'!H20*'Revenue Input'!$D16))</f>
        <v>0</v>
      </c>
      <c r="I20" s="64">
        <f>IF('Revenue Input'!$D16="","",IF('Cash Flow %s Yr1'!I20="","",'Cash Flow %s Yr1'!I20*'Revenue Input'!$D16))</f>
        <v>5886.4000000000005</v>
      </c>
      <c r="J20" s="64">
        <f>IF('Revenue Input'!$D16="","",IF('Cash Flow %s Yr1'!J20="","",'Cash Flow %s Yr1'!J20*'Revenue Input'!$D16))</f>
        <v>0</v>
      </c>
      <c r="K20" s="64">
        <f>IF('Revenue Input'!$D16="","",IF('Cash Flow %s Yr1'!K20="","",'Cash Flow %s Yr1'!K20*'Revenue Input'!$D16))</f>
        <v>0</v>
      </c>
      <c r="L20" s="64">
        <f>IF('Revenue Input'!$D16="","",IF('Cash Flow %s Yr1'!L20="","",'Cash Flow %s Yr1'!L20*'Revenue Input'!$D16))</f>
        <v>1471.6000000000001</v>
      </c>
      <c r="M20" s="64">
        <f>IF('Revenue Input'!$D16="","",IF('Cash Flow %s Yr1'!M20="","",'Cash Flow %s Yr1'!M20*'Revenue Input'!$D16))</f>
        <v>0</v>
      </c>
      <c r="N20" s="64">
        <f>IF('Revenue Input'!$D16="","",IF('Cash Flow %s Yr1'!N20="","",'Cash Flow %s Yr1'!N20*'Revenue Input'!$D16))</f>
        <v>0</v>
      </c>
      <c r="O20" s="64">
        <f>IF('Revenue Input'!$D16="","",IF('Cash Flow %s Yr1'!O20="","0",'Cash Flow %s Yr1'!O20*'Revenue Input'!$D16))</f>
        <v>0</v>
      </c>
      <c r="P20" s="64">
        <f>IF('Revenue Input'!$D16="","",IF('Cash Flow %s Yr1'!P20="","0",'Cash Flow %s Yr1'!P20*'Revenue Input'!$D16))</f>
        <v>0</v>
      </c>
      <c r="Q20" s="64">
        <f>IF('Revenue Input'!$D16="","",IF('Cash Flow %s Yr1'!Q20="","0",'Cash Flow %s Yr1'!Q20*'Revenue Input'!$D16))</f>
        <v>0</v>
      </c>
      <c r="R20" s="64">
        <f>IF('Revenue Input'!$D16="","",IF('Cash Flow %s Yr1'!R20="","0",'Cash Flow %s Yr1'!R20*'Revenue Input'!$D16))</f>
        <v>0</v>
      </c>
      <c r="S20" s="111">
        <f>IF(SUM(D20:R20)&gt;0,SUM(D20:R20)/'Revenue Input'!$D16,"")</f>
        <v>1.0000000000000002</v>
      </c>
    </row>
    <row r="21" spans="1:19" s="31" customFormat="1" ht="18" x14ac:dyDescent="0.2">
      <c r="A21" s="47"/>
      <c r="B21" s="65" t="str">
        <f>'Revenue Input'!B17</f>
        <v>8550</v>
      </c>
      <c r="C21" s="65" t="str">
        <f>'Revenue Input'!C17</f>
        <v>Mandate Block Grant</v>
      </c>
      <c r="D21" s="64">
        <f>IF('Revenue Input'!$D17="","",IF('Cash Flow %s Yr1'!D21="","",'Cash Flow %s Yr1'!D21*'Revenue Input'!$D17))</f>
        <v>0</v>
      </c>
      <c r="E21" s="64">
        <f>IF('Revenue Input'!$D17="","",IF('Cash Flow %s Yr1'!E21="","",'Cash Flow %s Yr1'!E21*'Revenue Input'!$D17))</f>
        <v>0</v>
      </c>
      <c r="F21" s="64">
        <f>IF('Revenue Input'!$D17="","",IF('Cash Flow %s Yr1'!F21="","",'Cash Flow %s Yr1'!F21*'Revenue Input'!$D17))</f>
        <v>1014.5</v>
      </c>
      <c r="G21" s="64">
        <f>IF('Revenue Input'!$D17="","",IF('Cash Flow %s Yr1'!G21="","",'Cash Flow %s Yr1'!G21*'Revenue Input'!$D17))</f>
        <v>0</v>
      </c>
      <c r="H21" s="64">
        <f>IF('Revenue Input'!$D17="","",IF('Cash Flow %s Yr1'!H21="","",'Cash Flow %s Yr1'!H21*'Revenue Input'!$D17))</f>
        <v>0</v>
      </c>
      <c r="I21" s="64">
        <f>IF('Revenue Input'!$D17="","",IF('Cash Flow %s Yr1'!I21="","",'Cash Flow %s Yr1'!I21*'Revenue Input'!$D17))</f>
        <v>0</v>
      </c>
      <c r="J21" s="64">
        <f>IF('Revenue Input'!$D17="","",IF('Cash Flow %s Yr1'!J21="","",'Cash Flow %s Yr1'!J21*'Revenue Input'!$D17))</f>
        <v>1014.5</v>
      </c>
      <c r="K21" s="64">
        <f>IF('Revenue Input'!$D17="","",IF('Cash Flow %s Yr1'!K21="","",'Cash Flow %s Yr1'!K21*'Revenue Input'!$D17))</f>
        <v>0</v>
      </c>
      <c r="L21" s="64">
        <f>IF('Revenue Input'!$D17="","",IF('Cash Flow %s Yr1'!L21="","",'Cash Flow %s Yr1'!L21*'Revenue Input'!$D17))</f>
        <v>0</v>
      </c>
      <c r="M21" s="64">
        <f>IF('Revenue Input'!$D17="","",IF('Cash Flow %s Yr1'!M21="","",'Cash Flow %s Yr1'!M21*'Revenue Input'!$D17))</f>
        <v>0</v>
      </c>
      <c r="N21" s="64">
        <f>IF('Revenue Input'!$D17="","",IF('Cash Flow %s Yr1'!N21="","",'Cash Flow %s Yr1'!N21*'Revenue Input'!$D17))</f>
        <v>0</v>
      </c>
      <c r="O21" s="64">
        <f>IF('Revenue Input'!$D17="","",IF('Cash Flow %s Yr1'!O21="","",'Cash Flow %s Yr1'!O21*'Revenue Input'!$D17))</f>
        <v>0</v>
      </c>
      <c r="P21" s="64">
        <f>IF('Revenue Input'!$D17="","",IF('Cash Flow %s Yr1'!P21="","",'Cash Flow %s Yr1'!P21*'Revenue Input'!$D17))</f>
        <v>0</v>
      </c>
      <c r="Q21" s="64">
        <f>IF('Revenue Input'!$D17="","",IF('Cash Flow %s Yr1'!Q21="","",'Cash Flow %s Yr1'!Q21*'Revenue Input'!$D17))</f>
        <v>0</v>
      </c>
      <c r="R21" s="64">
        <f>IF('Revenue Input'!$D17="","",IF('Cash Flow %s Yr1'!R21="","",'Cash Flow %s Yr1'!R21*'Revenue Input'!$D17))</f>
        <v>0</v>
      </c>
      <c r="S21" s="111">
        <f>IF(SUM(D21:R21)&gt;0,SUM(D21:R21)/'Revenue Input'!$D17,"")</f>
        <v>1</v>
      </c>
    </row>
    <row r="22" spans="1:19" s="31" customFormat="1" ht="18" x14ac:dyDescent="0.2">
      <c r="A22" s="47"/>
      <c r="B22" s="65" t="str">
        <f>'Revenue Input'!B18</f>
        <v>8550</v>
      </c>
      <c r="C22" s="65" t="str">
        <f>'Revenue Input'!C18</f>
        <v>One Time Block Grant</v>
      </c>
      <c r="D22" s="64">
        <f>IF('Revenue Input'!$D18="","",IF('Cash Flow %s Yr1'!D22="","",'Cash Flow %s Yr1'!D22*'Revenue Input'!$D18))</f>
        <v>0</v>
      </c>
      <c r="E22" s="64">
        <f>IF('Revenue Input'!$D18="","",IF('Cash Flow %s Yr1'!E22="","",'Cash Flow %s Yr1'!E22*'Revenue Input'!$D18))</f>
        <v>0</v>
      </c>
      <c r="F22" s="64">
        <f>IF('Revenue Input'!$D18="","",IF('Cash Flow %s Yr1'!F22="","",'Cash Flow %s Yr1'!F22*'Revenue Input'!$D18))</f>
        <v>0</v>
      </c>
      <c r="G22" s="64">
        <f>IF('Revenue Input'!$D18="","",IF('Cash Flow %s Yr1'!G22="","",'Cash Flow %s Yr1'!G22*'Revenue Input'!$D18))</f>
        <v>0</v>
      </c>
      <c r="H22" s="64">
        <f>IF('Revenue Input'!$D18="","",IF('Cash Flow %s Yr1'!H22="","",'Cash Flow %s Yr1'!H22*'Revenue Input'!$D18))</f>
        <v>0</v>
      </c>
      <c r="I22" s="64">
        <f>IF('Revenue Input'!$D18="","",IF('Cash Flow %s Yr1'!I22="","",'Cash Flow %s Yr1'!I22*'Revenue Input'!$D18))</f>
        <v>45631.200000000004</v>
      </c>
      <c r="J22" s="64">
        <f>IF('Revenue Input'!$D18="","",IF('Cash Flow %s Yr1'!J22="","",'Cash Flow %s Yr1'!J22*'Revenue Input'!$D18))</f>
        <v>0</v>
      </c>
      <c r="K22" s="64">
        <f>IF('Revenue Input'!$D18="","",IF('Cash Flow %s Yr1'!K22="","",'Cash Flow %s Yr1'!K22*'Revenue Input'!$D18))</f>
        <v>0</v>
      </c>
      <c r="L22" s="64">
        <f>IF('Revenue Input'!$D18="","",IF('Cash Flow %s Yr1'!L22="","",'Cash Flow %s Yr1'!L22*'Revenue Input'!$D18))</f>
        <v>11407.800000000001</v>
      </c>
      <c r="M22" s="64">
        <f>IF('Revenue Input'!$D18="","",IF('Cash Flow %s Yr1'!M22="","",'Cash Flow %s Yr1'!M22*'Revenue Input'!$D18))</f>
        <v>0</v>
      </c>
      <c r="N22" s="64">
        <f>IF('Revenue Input'!$D18="","",IF('Cash Flow %s Yr1'!N22="","",'Cash Flow %s Yr1'!N22*'Revenue Input'!$D18))</f>
        <v>0</v>
      </c>
      <c r="O22" s="64">
        <f>IF('Revenue Input'!$D18="","",IF('Cash Flow %s Yr1'!O22="","0",'Cash Flow %s Yr1'!O22*'Revenue Input'!$D18))</f>
        <v>0</v>
      </c>
      <c r="P22" s="64">
        <f>IF('Revenue Input'!$D18="","",IF('Cash Flow %s Yr1'!P22="","0",'Cash Flow %s Yr1'!P22*'Revenue Input'!$D18))</f>
        <v>0</v>
      </c>
      <c r="Q22" s="64">
        <f>IF('Revenue Input'!$D18="","",IF('Cash Flow %s Yr1'!Q22="","0",'Cash Flow %s Yr1'!Q22*'Revenue Input'!$D18))</f>
        <v>0</v>
      </c>
      <c r="R22" s="64">
        <f>IF('Revenue Input'!$D18="","",IF('Cash Flow %s Yr1'!R22="","0",'Cash Flow %s Yr1'!R22*'Revenue Input'!$D18))</f>
        <v>0</v>
      </c>
      <c r="S22" s="111">
        <f>IF(SUM(D22:R22)&gt;0,SUM(D22:R22)/'Revenue Input'!$D18,"")</f>
        <v>1.0000000000000002</v>
      </c>
    </row>
    <row r="23" spans="1:19" s="31" customFormat="1" ht="18" x14ac:dyDescent="0.2">
      <c r="A23" s="47"/>
      <c r="B23" s="73"/>
      <c r="C23" s="34" t="s">
        <v>721</v>
      </c>
      <c r="D23" s="172">
        <f t="shared" ref="D23:R23" si="0">SUM(D12:D22)</f>
        <v>39714.773486666665</v>
      </c>
      <c r="E23" s="172">
        <f t="shared" si="0"/>
        <v>59022.54697333333</v>
      </c>
      <c r="F23" s="172">
        <f t="shared" si="0"/>
        <v>96980.975760000001</v>
      </c>
      <c r="G23" s="172">
        <f t="shared" si="0"/>
        <v>59677.475760000001</v>
      </c>
      <c r="H23" s="172">
        <f t="shared" si="0"/>
        <v>69251.225760000001</v>
      </c>
      <c r="I23" s="172">
        <f t="shared" si="0"/>
        <v>152426.28075999999</v>
      </c>
      <c r="J23" s="172">
        <f t="shared" si="0"/>
        <v>60691.975760000001</v>
      </c>
      <c r="K23" s="172">
        <f t="shared" si="0"/>
        <v>98706.137579999995</v>
      </c>
      <c r="L23" s="172">
        <f t="shared" si="0"/>
        <v>112764.29129000001</v>
      </c>
      <c r="M23" s="172">
        <f t="shared" si="0"/>
        <v>65803.596290000001</v>
      </c>
      <c r="N23" s="172">
        <f t="shared" si="0"/>
        <v>70435.14129</v>
      </c>
      <c r="O23" s="172">
        <f t="shared" si="0"/>
        <v>99884.89129</v>
      </c>
      <c r="P23" s="172">
        <f t="shared" si="0"/>
        <v>4942.2049999999999</v>
      </c>
      <c r="Q23" s="172">
        <f t="shared" si="0"/>
        <v>9573.75</v>
      </c>
      <c r="R23" s="172">
        <f t="shared" si="0"/>
        <v>0</v>
      </c>
      <c r="S23" s="111"/>
    </row>
    <row r="24" spans="1:19" s="31" customFormat="1" ht="18" x14ac:dyDescent="0.2">
      <c r="A24" s="47"/>
      <c r="B24" s="72"/>
      <c r="C24" s="50"/>
      <c r="D24" s="126"/>
      <c r="E24" s="126"/>
      <c r="F24" s="126"/>
      <c r="G24" s="126"/>
      <c r="H24" s="126"/>
      <c r="I24" s="126"/>
      <c r="J24" s="126"/>
      <c r="K24" s="126"/>
      <c r="L24" s="126"/>
      <c r="M24" s="126"/>
      <c r="N24" s="126"/>
      <c r="O24" s="126"/>
      <c r="P24" s="126"/>
      <c r="Q24" s="126"/>
      <c r="R24" s="126"/>
    </row>
    <row r="25" spans="1:19" s="31" customFormat="1" ht="18" x14ac:dyDescent="0.2">
      <c r="B25" s="47" t="s">
        <v>785</v>
      </c>
      <c r="C25" s="50"/>
      <c r="D25" s="126"/>
      <c r="E25" s="126"/>
      <c r="F25" s="126"/>
      <c r="G25" s="126"/>
      <c r="H25" s="126"/>
      <c r="I25" s="126"/>
      <c r="J25" s="126"/>
      <c r="K25" s="126"/>
      <c r="L25" s="126"/>
      <c r="M25" s="126"/>
      <c r="N25" s="126"/>
      <c r="O25" s="126"/>
      <c r="P25" s="126"/>
      <c r="Q25" s="126"/>
      <c r="R25" s="126"/>
    </row>
    <row r="26" spans="1:19" s="31" customFormat="1" ht="18" x14ac:dyDescent="0.2">
      <c r="A26" s="47"/>
      <c r="B26" s="65" t="str">
        <f>'Revenue Input'!B22</f>
        <v>8220</v>
      </c>
      <c r="C26" s="65" t="str">
        <f>'Revenue Input'!C22</f>
        <v>Federal Child Nutrition Programs</v>
      </c>
      <c r="D26" s="64" t="str">
        <f>IF('Revenue Input'!$D22="","",IF('Cash Flow %s Yr1'!D26="","",'Cash Flow %s Yr1'!D26*'Revenue Input'!$D22))</f>
        <v/>
      </c>
      <c r="E26" s="64" t="str">
        <f>IF('Revenue Input'!$D22="","",IF('Cash Flow %s Yr1'!E26="","",'Cash Flow %s Yr1'!E26*'Revenue Input'!$D22))</f>
        <v/>
      </c>
      <c r="F26" s="64" t="str">
        <f>IF('Revenue Input'!$D22="","",IF('Cash Flow %s Yr1'!F26="","",'Cash Flow %s Yr1'!F26*'Revenue Input'!$D22))</f>
        <v/>
      </c>
      <c r="G26" s="64" t="str">
        <f>IF('Revenue Input'!$D22="","",IF('Cash Flow %s Yr1'!G26="","",'Cash Flow %s Yr1'!G26*'Revenue Input'!$D22))</f>
        <v/>
      </c>
      <c r="H26" s="64" t="str">
        <f>IF('Revenue Input'!$D22="","",IF('Cash Flow %s Yr1'!H26="","",'Cash Flow %s Yr1'!H26*'Revenue Input'!$D22))</f>
        <v/>
      </c>
      <c r="I26" s="64" t="str">
        <f>IF('Revenue Input'!$D22="","",IF('Cash Flow %s Yr1'!I26="","",'Cash Flow %s Yr1'!I26*'Revenue Input'!$D22))</f>
        <v/>
      </c>
      <c r="J26" s="64" t="str">
        <f>IF('Revenue Input'!$D22="","",IF('Cash Flow %s Yr1'!J26="","",'Cash Flow %s Yr1'!J26*'Revenue Input'!$D22))</f>
        <v/>
      </c>
      <c r="K26" s="64" t="str">
        <f>IF('Revenue Input'!$D22="","",IF('Cash Flow %s Yr1'!K26="","",'Cash Flow %s Yr1'!K26*'Revenue Input'!$D22))</f>
        <v/>
      </c>
      <c r="L26" s="64" t="str">
        <f>IF('Revenue Input'!$D22="","",IF('Cash Flow %s Yr1'!L26="","",'Cash Flow %s Yr1'!L26*'Revenue Input'!$D22))</f>
        <v/>
      </c>
      <c r="M26" s="64" t="str">
        <f>IF('Revenue Input'!$D22="","",IF('Cash Flow %s Yr1'!M26="","",'Cash Flow %s Yr1'!M26*'Revenue Input'!$D22))</f>
        <v/>
      </c>
      <c r="N26" s="64" t="str">
        <f>IF('Revenue Input'!$D22="","",IF('Cash Flow %s Yr1'!N26="","",'Cash Flow %s Yr1'!N26*'Revenue Input'!$D22))</f>
        <v/>
      </c>
      <c r="O26" s="64" t="str">
        <f>IF('Revenue Input'!$D22="","",IF('Cash Flow %s Yr1'!O26="","",'Cash Flow %s Yr1'!O26*'Revenue Input'!$D22))</f>
        <v/>
      </c>
      <c r="P26" s="64" t="str">
        <f>IF('Revenue Input'!$D22="","",IF('Cash Flow %s Yr1'!P26="","",'Cash Flow %s Yr1'!P26*'Revenue Input'!$D22))</f>
        <v/>
      </c>
      <c r="Q26" s="64" t="str">
        <f>IF('Revenue Input'!$D22="","",IF('Cash Flow %s Yr1'!Q26="","",'Cash Flow %s Yr1'!Q26*'Revenue Input'!$D22))</f>
        <v/>
      </c>
      <c r="R26" s="64" t="str">
        <f>IF('Revenue Input'!$D22="","",IF('Cash Flow %s Yr1'!R26="","",'Cash Flow %s Yr1'!R26*'Revenue Input'!$D22))</f>
        <v/>
      </c>
      <c r="S26" s="111" t="str">
        <f>IF(SUM(D26:R26)&gt;0,SUM(D26:R26)/'Revenue Input'!$D22,"")</f>
        <v/>
      </c>
    </row>
    <row r="27" spans="1:19" s="31" customFormat="1" ht="18" x14ac:dyDescent="0.2">
      <c r="A27" s="47"/>
      <c r="B27" s="65" t="str">
        <f>'Revenue Input'!B23</f>
        <v>8290</v>
      </c>
      <c r="C27" s="65" t="str">
        <f>'Revenue Input'!C23</f>
        <v>All Other Federal Revenue, inc Facilities Incentive Grants program</v>
      </c>
      <c r="D27" s="64" t="str">
        <f>IF('Revenue Input'!$D23="","",IF('Cash Flow %s Yr1'!D27="","",'Cash Flow %s Yr1'!D27*'Revenue Input'!$D23))</f>
        <v/>
      </c>
      <c r="E27" s="64" t="str">
        <f>IF('Revenue Input'!$D23="","",IF('Cash Flow %s Yr1'!E27="","",'Cash Flow %s Yr1'!E27*'Revenue Input'!$D23))</f>
        <v/>
      </c>
      <c r="F27" s="64" t="str">
        <f>IF('Revenue Input'!$D23="","",IF('Cash Flow %s Yr1'!F27="","",'Cash Flow %s Yr1'!F27*'Revenue Input'!$D23))</f>
        <v/>
      </c>
      <c r="G27" s="64" t="str">
        <f>IF('Revenue Input'!$D23="","",IF('Cash Flow %s Yr1'!G27="","",'Cash Flow %s Yr1'!G27*'Revenue Input'!$D23))</f>
        <v/>
      </c>
      <c r="H27" s="64" t="str">
        <f>IF('Revenue Input'!$D23="","",IF('Cash Flow %s Yr1'!H27="","",'Cash Flow %s Yr1'!H27*'Revenue Input'!$D23))</f>
        <v/>
      </c>
      <c r="I27" s="64" t="str">
        <f>IF('Revenue Input'!$D23="","",IF('Cash Flow %s Yr1'!I27="","",'Cash Flow %s Yr1'!I27*'Revenue Input'!$D23))</f>
        <v/>
      </c>
      <c r="J27" s="64" t="str">
        <f>IF('Revenue Input'!$D23="","",IF('Cash Flow %s Yr1'!J27="","",'Cash Flow %s Yr1'!J27*'Revenue Input'!$D23))</f>
        <v/>
      </c>
      <c r="K27" s="64" t="str">
        <f>IF('Revenue Input'!$D23="","",IF('Cash Flow %s Yr1'!K27="","",'Cash Flow %s Yr1'!K27*'Revenue Input'!$D23))</f>
        <v/>
      </c>
      <c r="L27" s="64" t="str">
        <f>IF('Revenue Input'!$D23="","",IF('Cash Flow %s Yr1'!L27="","",'Cash Flow %s Yr1'!L27*'Revenue Input'!$D23))</f>
        <v/>
      </c>
      <c r="M27" s="64" t="str">
        <f>IF('Revenue Input'!$D23="","",IF('Cash Flow %s Yr1'!M27="","",'Cash Flow %s Yr1'!M27*'Revenue Input'!$D23))</f>
        <v/>
      </c>
      <c r="N27" s="64" t="str">
        <f>IF('Revenue Input'!$D23="","",IF('Cash Flow %s Yr1'!N27="","",'Cash Flow %s Yr1'!N27*'Revenue Input'!$D23))</f>
        <v/>
      </c>
      <c r="O27" s="64" t="str">
        <f>IF('Revenue Input'!$D23="","",IF('Cash Flow %s Yr1'!O27="","",'Cash Flow %s Yr1'!O27*'Revenue Input'!$D23))</f>
        <v/>
      </c>
      <c r="P27" s="64" t="str">
        <f>IF('Revenue Input'!$D23="","",IF('Cash Flow %s Yr1'!P27="","",'Cash Flow %s Yr1'!P27*'Revenue Input'!$D23))</f>
        <v/>
      </c>
      <c r="Q27" s="64" t="str">
        <f>IF('Revenue Input'!$D23="","",IF('Cash Flow %s Yr1'!Q27="","",'Cash Flow %s Yr1'!Q27*'Revenue Input'!$D23))</f>
        <v/>
      </c>
      <c r="R27" s="64" t="str">
        <f>IF('Revenue Input'!$D23="","",IF('Cash Flow %s Yr1'!R27="","",'Cash Flow %s Yr1'!R27*'Revenue Input'!$D23))</f>
        <v/>
      </c>
      <c r="S27" s="111" t="str">
        <f>IF(SUM(D27:R27)&gt;0,SUM(D27:R27)/'Revenue Input'!$D23,"")</f>
        <v/>
      </c>
    </row>
    <row r="28" spans="1:19" s="31" customFormat="1" ht="18" x14ac:dyDescent="0.2">
      <c r="A28" s="47"/>
      <c r="B28" s="65" t="str">
        <f>'Revenue Input'!B24</f>
        <v>8291</v>
      </c>
      <c r="C28" s="65" t="str">
        <f>'Revenue Input'!C24</f>
        <v>Title I</v>
      </c>
      <c r="D28" s="64" t="str">
        <f>IF('Revenue Input'!$D24="","",IF('Cash Flow %s Yr1'!D28="","",'Cash Flow %s Yr1'!D28*'Revenue Input'!$D24))</f>
        <v/>
      </c>
      <c r="E28" s="64" t="str">
        <f>IF('Revenue Input'!$D24="","",IF('Cash Flow %s Yr1'!E28="","",'Cash Flow %s Yr1'!E28*'Revenue Input'!$D24))</f>
        <v/>
      </c>
      <c r="F28" s="64" t="str">
        <f>IF('Revenue Input'!$D24="","",IF('Cash Flow %s Yr1'!F28="","",'Cash Flow %s Yr1'!F28*'Revenue Input'!$D24))</f>
        <v/>
      </c>
      <c r="G28" s="64" t="str">
        <f>IF('Revenue Input'!$D24="","",IF('Cash Flow %s Yr1'!G28="","",'Cash Flow %s Yr1'!G28*'Revenue Input'!$D24))</f>
        <v/>
      </c>
      <c r="H28" s="64" t="str">
        <f>IF('Revenue Input'!$D24="","",IF('Cash Flow %s Yr1'!H28="","",'Cash Flow %s Yr1'!H28*'Revenue Input'!$D24))</f>
        <v/>
      </c>
      <c r="I28" s="64" t="str">
        <f>IF('Revenue Input'!$D24="","",IF('Cash Flow %s Yr1'!I28="","",'Cash Flow %s Yr1'!I28*'Revenue Input'!$D24))</f>
        <v/>
      </c>
      <c r="J28" s="64" t="str">
        <f>IF('Revenue Input'!$D24="","",IF('Cash Flow %s Yr1'!J28="","",'Cash Flow %s Yr1'!J28*'Revenue Input'!$D24))</f>
        <v/>
      </c>
      <c r="K28" s="64" t="str">
        <f>IF('Revenue Input'!$D24="","",IF('Cash Flow %s Yr1'!K28="","",'Cash Flow %s Yr1'!K28*'Revenue Input'!$D24))</f>
        <v/>
      </c>
      <c r="L28" s="64" t="str">
        <f>IF('Revenue Input'!$D24="","",IF('Cash Flow %s Yr1'!L28="","",'Cash Flow %s Yr1'!L28*'Revenue Input'!$D24))</f>
        <v/>
      </c>
      <c r="M28" s="64" t="str">
        <f>IF('Revenue Input'!$D24="","",IF('Cash Flow %s Yr1'!M28="","",'Cash Flow %s Yr1'!M28*'Revenue Input'!$D24))</f>
        <v/>
      </c>
      <c r="N28" s="64" t="str">
        <f>IF('Revenue Input'!$D24="","",IF('Cash Flow %s Yr1'!N28="","",'Cash Flow %s Yr1'!N28*'Revenue Input'!$D24))</f>
        <v/>
      </c>
      <c r="O28" s="64" t="str">
        <f>IF('Revenue Input'!$D24="","",IF('Cash Flow %s Yr1'!O28="","",'Cash Flow %s Yr1'!O28*'Revenue Input'!$D24))</f>
        <v/>
      </c>
      <c r="P28" s="64" t="str">
        <f>IF('Revenue Input'!$D24="","",IF('Cash Flow %s Yr1'!P28="","",'Cash Flow %s Yr1'!P28*'Revenue Input'!$D24))</f>
        <v/>
      </c>
      <c r="Q28" s="64" t="str">
        <f>IF('Revenue Input'!$D24="","",IF('Cash Flow %s Yr1'!Q28="","",'Cash Flow %s Yr1'!Q28*'Revenue Input'!$D24))</f>
        <v/>
      </c>
      <c r="R28" s="64" t="str">
        <f>IF('Revenue Input'!$D24="","",IF('Cash Flow %s Yr1'!R28="","",'Cash Flow %s Yr1'!R28*'Revenue Input'!$D24))</f>
        <v/>
      </c>
      <c r="S28" s="111" t="str">
        <f>IF(SUM(D28:R28)&gt;0,SUM(D28:R28)/'Revenue Input'!$D24,"")</f>
        <v/>
      </c>
    </row>
    <row r="29" spans="1:19" s="31" customFormat="1" ht="18" x14ac:dyDescent="0.2">
      <c r="A29" s="47"/>
      <c r="B29" s="65" t="str">
        <f>'Revenue Input'!B25</f>
        <v>8292</v>
      </c>
      <c r="C29" s="65" t="str">
        <f>'Revenue Input'!C25</f>
        <v>Title II</v>
      </c>
      <c r="D29" s="64" t="str">
        <f>IF('Revenue Input'!$D25="","",IF('Cash Flow %s Yr1'!D29="","",'Cash Flow %s Yr1'!D29*'Revenue Input'!$D25))</f>
        <v/>
      </c>
      <c r="E29" s="64" t="str">
        <f>IF('Revenue Input'!$D25="","",IF('Cash Flow %s Yr1'!E29="","",'Cash Flow %s Yr1'!E29*'Revenue Input'!$D25))</f>
        <v/>
      </c>
      <c r="F29" s="64" t="str">
        <f>IF('Revenue Input'!$D25="","",IF('Cash Flow %s Yr1'!F29="","",'Cash Flow %s Yr1'!F29*'Revenue Input'!$D25))</f>
        <v/>
      </c>
      <c r="G29" s="64" t="str">
        <f>IF('Revenue Input'!$D25="","",IF('Cash Flow %s Yr1'!G29="","",'Cash Flow %s Yr1'!G29*'Revenue Input'!$D25))</f>
        <v/>
      </c>
      <c r="H29" s="64" t="str">
        <f>IF('Revenue Input'!$D25="","",IF('Cash Flow %s Yr1'!H29="","",'Cash Flow %s Yr1'!H29*'Revenue Input'!$D25))</f>
        <v/>
      </c>
      <c r="I29" s="64" t="str">
        <f>IF('Revenue Input'!$D25="","",IF('Cash Flow %s Yr1'!I29="","",'Cash Flow %s Yr1'!I29*'Revenue Input'!$D25))</f>
        <v/>
      </c>
      <c r="J29" s="64" t="str">
        <f>IF('Revenue Input'!$D25="","",IF('Cash Flow %s Yr1'!J29="","",'Cash Flow %s Yr1'!J29*'Revenue Input'!$D25))</f>
        <v/>
      </c>
      <c r="K29" s="64" t="str">
        <f>IF('Revenue Input'!$D25="","",IF('Cash Flow %s Yr1'!K29="","",'Cash Flow %s Yr1'!K29*'Revenue Input'!$D25))</f>
        <v/>
      </c>
      <c r="L29" s="64" t="str">
        <f>IF('Revenue Input'!$D25="","",IF('Cash Flow %s Yr1'!L29="","",'Cash Flow %s Yr1'!L29*'Revenue Input'!$D25))</f>
        <v/>
      </c>
      <c r="M29" s="64" t="str">
        <f>IF('Revenue Input'!$D25="","",IF('Cash Flow %s Yr1'!M29="","",'Cash Flow %s Yr1'!M29*'Revenue Input'!$D25))</f>
        <v/>
      </c>
      <c r="N29" s="64" t="str">
        <f>IF('Revenue Input'!$D25="","",IF('Cash Flow %s Yr1'!N29="","",'Cash Flow %s Yr1'!N29*'Revenue Input'!$D25))</f>
        <v/>
      </c>
      <c r="O29" s="64" t="str">
        <f>IF('Revenue Input'!$D25="","",IF('Cash Flow %s Yr1'!O29="","",'Cash Flow %s Yr1'!O29*'Revenue Input'!$D25))</f>
        <v/>
      </c>
      <c r="P29" s="64" t="str">
        <f>IF('Revenue Input'!$D25="","",IF('Cash Flow %s Yr1'!P29="","",'Cash Flow %s Yr1'!P29*'Revenue Input'!$D25))</f>
        <v/>
      </c>
      <c r="Q29" s="64" t="str">
        <f>IF('Revenue Input'!$D25="","",IF('Cash Flow %s Yr1'!Q29="","",'Cash Flow %s Yr1'!Q29*'Revenue Input'!$D25))</f>
        <v/>
      </c>
      <c r="R29" s="64" t="str">
        <f>IF('Revenue Input'!$D25="","",IF('Cash Flow %s Yr1'!R29="","",'Cash Flow %s Yr1'!R29*'Revenue Input'!$D25))</f>
        <v/>
      </c>
      <c r="S29" s="301" t="str">
        <f>IF(SUM(D29:R29)&gt;0,SUM(D29:R29)/'Revenue Input'!$D25,"")</f>
        <v/>
      </c>
    </row>
    <row r="30" spans="1:19" s="31" customFormat="1" ht="18" x14ac:dyDescent="0.2">
      <c r="A30" s="47"/>
      <c r="B30" s="65" t="str">
        <f>'Revenue Input'!B26</f>
        <v>8293</v>
      </c>
      <c r="C30" s="65" t="str">
        <f>'Revenue Input'!C26</f>
        <v>Title III</v>
      </c>
      <c r="D30" s="64" t="str">
        <f>IF('Revenue Input'!$D26="","",IF('Cash Flow %s Yr1'!D30="","",'Cash Flow %s Yr1'!D30*'Revenue Input'!$D26))</f>
        <v/>
      </c>
      <c r="E30" s="64" t="str">
        <f>IF('Revenue Input'!$D26="","",IF('Cash Flow %s Yr1'!E30="","",'Cash Flow %s Yr1'!E30*'Revenue Input'!$D26))</f>
        <v/>
      </c>
      <c r="F30" s="64" t="str">
        <f>IF('Revenue Input'!$D26="","",IF('Cash Flow %s Yr1'!F30="","",'Cash Flow %s Yr1'!F30*'Revenue Input'!$D26))</f>
        <v/>
      </c>
      <c r="G30" s="64" t="str">
        <f>IF('Revenue Input'!$D26="","",IF('Cash Flow %s Yr1'!G30="","",'Cash Flow %s Yr1'!G30*'Revenue Input'!$D26))</f>
        <v/>
      </c>
      <c r="H30" s="64" t="str">
        <f>IF('Revenue Input'!$D26="","",IF('Cash Flow %s Yr1'!H30="","",'Cash Flow %s Yr1'!H30*'Revenue Input'!$D26))</f>
        <v/>
      </c>
      <c r="I30" s="64" t="str">
        <f>IF('Revenue Input'!$D26="","",IF('Cash Flow %s Yr1'!I30="","",'Cash Flow %s Yr1'!I30*'Revenue Input'!$D26))</f>
        <v/>
      </c>
      <c r="J30" s="64" t="str">
        <f>IF('Revenue Input'!$D26="","",IF('Cash Flow %s Yr1'!J30="","",'Cash Flow %s Yr1'!J30*'Revenue Input'!$D26))</f>
        <v/>
      </c>
      <c r="K30" s="64" t="str">
        <f>IF('Revenue Input'!$D26="","",IF('Cash Flow %s Yr1'!K30="","",'Cash Flow %s Yr1'!K30*'Revenue Input'!$D26))</f>
        <v/>
      </c>
      <c r="L30" s="64" t="str">
        <f>IF('Revenue Input'!$D26="","",IF('Cash Flow %s Yr1'!L30="","",'Cash Flow %s Yr1'!L30*'Revenue Input'!$D26))</f>
        <v/>
      </c>
      <c r="M30" s="64" t="str">
        <f>IF('Revenue Input'!$D26="","",IF('Cash Flow %s Yr1'!M30="","",'Cash Flow %s Yr1'!M30*'Revenue Input'!$D26))</f>
        <v/>
      </c>
      <c r="N30" s="64" t="str">
        <f>IF('Revenue Input'!$D26="","",IF('Cash Flow %s Yr1'!N30="","",'Cash Flow %s Yr1'!N30*'Revenue Input'!$D26))</f>
        <v/>
      </c>
      <c r="O30" s="64" t="str">
        <f>IF('Revenue Input'!$D26="","",IF('Cash Flow %s Yr1'!O30="","",'Cash Flow %s Yr1'!O30*'Revenue Input'!$D26))</f>
        <v/>
      </c>
      <c r="P30" s="64" t="str">
        <f>IF('Revenue Input'!$D26="","",IF('Cash Flow %s Yr1'!P30="","",'Cash Flow %s Yr1'!P30*'Revenue Input'!$D26))</f>
        <v/>
      </c>
      <c r="Q30" s="64" t="str">
        <f>IF('Revenue Input'!$D26="","",IF('Cash Flow %s Yr1'!Q30="","",'Cash Flow %s Yr1'!Q30*'Revenue Input'!$D26))</f>
        <v/>
      </c>
      <c r="R30" s="64" t="str">
        <f>IF('Revenue Input'!$D26="","",IF('Cash Flow %s Yr1'!R30="","",'Cash Flow %s Yr1'!R30*'Revenue Input'!$D26))</f>
        <v/>
      </c>
      <c r="S30" s="111" t="str">
        <f>IF(SUM(D30:R30)&gt;0,SUM(D30:R30)/'Revenue Input'!$D26,"")</f>
        <v/>
      </c>
    </row>
    <row r="31" spans="1:19" s="31" customFormat="1" ht="18" x14ac:dyDescent="0.2">
      <c r="A31" s="47"/>
      <c r="B31" s="65" t="str">
        <f>'Revenue Input'!B27</f>
        <v>8294</v>
      </c>
      <c r="C31" s="65" t="str">
        <f>'Revenue Input'!C27</f>
        <v>Title IV</v>
      </c>
      <c r="D31" s="64" t="str">
        <f>IF('Revenue Input'!$D27="","",IF('Cash Flow %s Yr1'!D31="","",'Cash Flow %s Yr1'!D31*'Revenue Input'!$D27))</f>
        <v/>
      </c>
      <c r="E31" s="64" t="str">
        <f>IF('Revenue Input'!$D27="","",IF('Cash Flow %s Yr1'!E31="","",'Cash Flow %s Yr1'!E31*'Revenue Input'!$D27))</f>
        <v/>
      </c>
      <c r="F31" s="64" t="str">
        <f>IF('Revenue Input'!$D27="","",IF('Cash Flow %s Yr1'!F31="","",'Cash Flow %s Yr1'!F31*'Revenue Input'!$D27))</f>
        <v/>
      </c>
      <c r="G31" s="64" t="str">
        <f>IF('Revenue Input'!$D27="","",IF('Cash Flow %s Yr1'!G31="","",'Cash Flow %s Yr1'!G31*'Revenue Input'!$D27))</f>
        <v/>
      </c>
      <c r="H31" s="64" t="str">
        <f>IF('Revenue Input'!$D27="","",IF('Cash Flow %s Yr1'!H31="","",'Cash Flow %s Yr1'!H31*'Revenue Input'!$D27))</f>
        <v/>
      </c>
      <c r="I31" s="64" t="str">
        <f>IF('Revenue Input'!$D27="","",IF('Cash Flow %s Yr1'!I31="","",'Cash Flow %s Yr1'!I31*'Revenue Input'!$D27))</f>
        <v/>
      </c>
      <c r="J31" s="64" t="str">
        <f>IF('Revenue Input'!$D27="","",IF('Cash Flow %s Yr1'!J31="","",'Cash Flow %s Yr1'!J31*'Revenue Input'!$D27))</f>
        <v/>
      </c>
      <c r="K31" s="64" t="str">
        <f>IF('Revenue Input'!$D27="","",IF('Cash Flow %s Yr1'!K31="","",'Cash Flow %s Yr1'!K31*'Revenue Input'!$D27))</f>
        <v/>
      </c>
      <c r="L31" s="64" t="str">
        <f>IF('Revenue Input'!$D27="","",IF('Cash Flow %s Yr1'!L31="","",'Cash Flow %s Yr1'!L31*'Revenue Input'!$D27))</f>
        <v/>
      </c>
      <c r="M31" s="64" t="str">
        <f>IF('Revenue Input'!$D27="","",IF('Cash Flow %s Yr1'!M31="","",'Cash Flow %s Yr1'!M31*'Revenue Input'!$D27))</f>
        <v/>
      </c>
      <c r="N31" s="64" t="str">
        <f>IF('Revenue Input'!$D27="","",IF('Cash Flow %s Yr1'!N31="","",'Cash Flow %s Yr1'!N31*'Revenue Input'!$D27))</f>
        <v/>
      </c>
      <c r="O31" s="64" t="str">
        <f>IF('Revenue Input'!$D27="","",IF('Cash Flow %s Yr1'!O31="","",'Cash Flow %s Yr1'!O31*'Revenue Input'!$D27))</f>
        <v/>
      </c>
      <c r="P31" s="64" t="str">
        <f>IF('Revenue Input'!$D27="","",IF('Cash Flow %s Yr1'!P31="","",'Cash Flow %s Yr1'!P31*'Revenue Input'!$D27))</f>
        <v/>
      </c>
      <c r="Q31" s="64" t="str">
        <f>IF('Revenue Input'!$D27="","",IF('Cash Flow %s Yr1'!Q31="","",'Cash Flow %s Yr1'!Q31*'Revenue Input'!$D27))</f>
        <v/>
      </c>
      <c r="R31" s="64" t="str">
        <f>IF('Revenue Input'!$D27="","",IF('Cash Flow %s Yr1'!R31="","",'Cash Flow %s Yr1'!R31*'Revenue Input'!$D27))</f>
        <v/>
      </c>
      <c r="S31" s="111" t="str">
        <f>IF(SUM(D31:R31)&gt;0,SUM(D31:R31)/'Revenue Input'!$D27,"")</f>
        <v/>
      </c>
    </row>
    <row r="32" spans="1:19" s="31" customFormat="1" ht="18" x14ac:dyDescent="0.2">
      <c r="A32" s="47"/>
      <c r="B32" s="65" t="str">
        <f>'Revenue Input'!B28</f>
        <v>8295</v>
      </c>
      <c r="C32" s="65" t="str">
        <f>'Revenue Input'!C28</f>
        <v>Title V</v>
      </c>
      <c r="D32" s="64" t="str">
        <f>IF('Revenue Input'!$D28="","",IF('Cash Flow %s Yr1'!D32="","",'Cash Flow %s Yr1'!D32*'Revenue Input'!$D28))</f>
        <v/>
      </c>
      <c r="E32" s="64" t="str">
        <f>IF('Revenue Input'!$D28="","",IF('Cash Flow %s Yr1'!E32="","",'Cash Flow %s Yr1'!E32*'Revenue Input'!$D28))</f>
        <v/>
      </c>
      <c r="F32" s="64" t="str">
        <f>IF('Revenue Input'!$D28="","",IF('Cash Flow %s Yr1'!F32="","",'Cash Flow %s Yr1'!F32*'Revenue Input'!$D28))</f>
        <v/>
      </c>
      <c r="G32" s="64" t="str">
        <f>IF('Revenue Input'!$D28="","",IF('Cash Flow %s Yr1'!G32="","",'Cash Flow %s Yr1'!G32*'Revenue Input'!$D28))</f>
        <v/>
      </c>
      <c r="H32" s="64" t="str">
        <f>IF('Revenue Input'!$D28="","",IF('Cash Flow %s Yr1'!H32="","",'Cash Flow %s Yr1'!H32*'Revenue Input'!$D28))</f>
        <v/>
      </c>
      <c r="I32" s="64" t="str">
        <f>IF('Revenue Input'!$D28="","",IF('Cash Flow %s Yr1'!I32="","",'Cash Flow %s Yr1'!I32*'Revenue Input'!$D28))</f>
        <v/>
      </c>
      <c r="J32" s="64" t="str">
        <f>IF('Revenue Input'!$D28="","",IF('Cash Flow %s Yr1'!J32="","",'Cash Flow %s Yr1'!J32*'Revenue Input'!$D28))</f>
        <v/>
      </c>
      <c r="K32" s="64" t="str">
        <f>IF('Revenue Input'!$D28="","",IF('Cash Flow %s Yr1'!K32="","",'Cash Flow %s Yr1'!K32*'Revenue Input'!$D28))</f>
        <v/>
      </c>
      <c r="L32" s="64" t="str">
        <f>IF('Revenue Input'!$D28="","",IF('Cash Flow %s Yr1'!L32="","",'Cash Flow %s Yr1'!L32*'Revenue Input'!$D28))</f>
        <v/>
      </c>
      <c r="M32" s="64" t="str">
        <f>IF('Revenue Input'!$D28="","",IF('Cash Flow %s Yr1'!M32="","",'Cash Flow %s Yr1'!M32*'Revenue Input'!$D28))</f>
        <v/>
      </c>
      <c r="N32" s="64" t="str">
        <f>IF('Revenue Input'!$D28="","",IF('Cash Flow %s Yr1'!N32="","",'Cash Flow %s Yr1'!N32*'Revenue Input'!$D28))</f>
        <v/>
      </c>
      <c r="O32" s="64" t="str">
        <f>IF('Revenue Input'!$D28="","",IF('Cash Flow %s Yr1'!O32="","",'Cash Flow %s Yr1'!O32*'Revenue Input'!$D28))</f>
        <v/>
      </c>
      <c r="P32" s="64" t="str">
        <f>IF('Revenue Input'!$D28="","",IF('Cash Flow %s Yr1'!P32="","",'Cash Flow %s Yr1'!P32*'Revenue Input'!$D28))</f>
        <v/>
      </c>
      <c r="Q32" s="64" t="str">
        <f>IF('Revenue Input'!$D28="","",IF('Cash Flow %s Yr1'!Q32="","",'Cash Flow %s Yr1'!Q32*'Revenue Input'!$D28))</f>
        <v/>
      </c>
      <c r="R32" s="64" t="str">
        <f>IF('Revenue Input'!$D28="","",IF('Cash Flow %s Yr1'!R32="","",'Cash Flow %s Yr1'!R32*'Revenue Input'!$D28))</f>
        <v/>
      </c>
      <c r="S32" s="111" t="str">
        <f>IF(SUM(D32:R32)&gt;0,SUM(D32:R32)/'Revenue Input'!$D28,"")</f>
        <v/>
      </c>
    </row>
    <row r="33" spans="1:19" s="31" customFormat="1" ht="18" x14ac:dyDescent="0.2">
      <c r="A33" s="47"/>
      <c r="B33" s="65" t="str">
        <f>'Revenue Input'!B29</f>
        <v>8299</v>
      </c>
      <c r="C33" s="65" t="str">
        <f>'Revenue Input'!C29</f>
        <v>Prior Year Federal Revenue</v>
      </c>
      <c r="D33" s="64" t="str">
        <f>IF('Revenue Input'!$D29="","",IF('Cash Flow %s Yr1'!D33="","",'Cash Flow %s Yr1'!D33*'Revenue Input'!$D29))</f>
        <v/>
      </c>
      <c r="E33" s="64" t="str">
        <f>IF('Revenue Input'!$D29="","",IF('Cash Flow %s Yr1'!E33="","",'Cash Flow %s Yr1'!E33*'Revenue Input'!$D29))</f>
        <v/>
      </c>
      <c r="F33" s="64" t="str">
        <f>IF('Revenue Input'!$D29="","",IF('Cash Flow %s Yr1'!I33="","",'Cash Flow %s Yr1'!I33*'Revenue Input'!$D29))</f>
        <v/>
      </c>
      <c r="G33" s="64" t="str">
        <f>IF('Revenue Input'!$D29="","",IF('Cash Flow %s Yr1'!G33="","",'Cash Flow %s Yr1'!G33*'Revenue Input'!$D29))</f>
        <v/>
      </c>
      <c r="H33" s="64" t="str">
        <f>IF('Revenue Input'!$D29="","",IF('Cash Flow %s Yr1'!H33="","",'Cash Flow %s Yr1'!H33*'Revenue Input'!$D29))</f>
        <v/>
      </c>
      <c r="I33" s="64" t="str">
        <f>IF('Revenue Input'!$D29="","",IF('Cash Flow %s Yr1'!#REF!="","",'Cash Flow %s Yr1'!#REF!*'Revenue Input'!$D29))</f>
        <v/>
      </c>
      <c r="J33" s="64" t="str">
        <f>IF('Revenue Input'!$D29="","",IF('Cash Flow %s Yr1'!J33="","",'Cash Flow %s Yr1'!J33*'Revenue Input'!$D29))</f>
        <v/>
      </c>
      <c r="K33" s="64" t="str">
        <f>IF('Revenue Input'!$D29="","",IF('Cash Flow %s Yr1'!K33="","",'Cash Flow %s Yr1'!K33*'Revenue Input'!$D29))</f>
        <v/>
      </c>
      <c r="L33" s="64" t="str">
        <f>IF('Revenue Input'!$D29="","",IF('Cash Flow %s Yr1'!L33="","",'Cash Flow %s Yr1'!L33*'Revenue Input'!$D29))</f>
        <v/>
      </c>
      <c r="M33" s="64" t="str">
        <f>IF('Revenue Input'!$D29="","",IF('Cash Flow %s Yr1'!M33="","",'Cash Flow %s Yr1'!M33*'Revenue Input'!$D29))</f>
        <v/>
      </c>
      <c r="N33" s="64" t="str">
        <f>IF('Revenue Input'!$D29="","",IF('Cash Flow %s Yr1'!N33="","",'Cash Flow %s Yr1'!N33*'Revenue Input'!$D29))</f>
        <v/>
      </c>
      <c r="O33" s="64" t="str">
        <f>IF('Revenue Input'!$D29="","",IF('Cash Flow %s Yr1'!O33="","0",'Cash Flow %s Yr1'!O33*'Revenue Input'!$D29))</f>
        <v/>
      </c>
      <c r="P33" s="64" t="str">
        <f>IF('Revenue Input'!$D29="","",IF('Cash Flow %s Yr1'!P33="","0",'Cash Flow %s Yr1'!P33*'Revenue Input'!$D29))</f>
        <v/>
      </c>
      <c r="Q33" s="64" t="str">
        <f>IF('Revenue Input'!$D29="","",IF('Cash Flow %s Yr1'!Q33="","0",'Cash Flow %s Yr1'!Q33*'Revenue Input'!$D29))</f>
        <v/>
      </c>
      <c r="R33" s="64" t="str">
        <f>IF('Revenue Input'!$D29="","",IF('Cash Flow %s Yr1'!R33="","0",'Cash Flow %s Yr1'!R33*'Revenue Input'!$D29))</f>
        <v/>
      </c>
      <c r="S33" s="111" t="str">
        <f>IF(SUM(D33:R33)&gt;0,SUM(D33:R33)/'Revenue Input'!$D29,"")</f>
        <v/>
      </c>
    </row>
    <row r="34" spans="1:19" s="31" customFormat="1" ht="18" x14ac:dyDescent="0.2">
      <c r="A34" s="47"/>
      <c r="B34" s="73"/>
      <c r="C34" s="34" t="s">
        <v>721</v>
      </c>
      <c r="D34" s="172">
        <f t="shared" ref="D34:R34" si="1">SUM(D26:D33)</f>
        <v>0</v>
      </c>
      <c r="E34" s="172">
        <f t="shared" si="1"/>
        <v>0</v>
      </c>
      <c r="F34" s="172">
        <f t="shared" si="1"/>
        <v>0</v>
      </c>
      <c r="G34" s="172">
        <f t="shared" si="1"/>
        <v>0</v>
      </c>
      <c r="H34" s="172">
        <f t="shared" si="1"/>
        <v>0</v>
      </c>
      <c r="I34" s="172">
        <f t="shared" si="1"/>
        <v>0</v>
      </c>
      <c r="J34" s="172">
        <f t="shared" si="1"/>
        <v>0</v>
      </c>
      <c r="K34" s="172">
        <f t="shared" si="1"/>
        <v>0</v>
      </c>
      <c r="L34" s="172">
        <f t="shared" si="1"/>
        <v>0</v>
      </c>
      <c r="M34" s="172">
        <f t="shared" si="1"/>
        <v>0</v>
      </c>
      <c r="N34" s="172">
        <f t="shared" si="1"/>
        <v>0</v>
      </c>
      <c r="O34" s="172">
        <f t="shared" si="1"/>
        <v>0</v>
      </c>
      <c r="P34" s="172">
        <f t="shared" si="1"/>
        <v>0</v>
      </c>
      <c r="Q34" s="172">
        <f t="shared" si="1"/>
        <v>0</v>
      </c>
      <c r="R34" s="172">
        <f t="shared" si="1"/>
        <v>0</v>
      </c>
      <c r="S34" s="107"/>
    </row>
    <row r="35" spans="1:19" s="31" customFormat="1" ht="18" x14ac:dyDescent="0.2">
      <c r="A35" s="47"/>
      <c r="B35" s="72"/>
      <c r="C35" s="50"/>
      <c r="D35" s="126"/>
      <c r="E35" s="126"/>
      <c r="F35" s="126"/>
      <c r="G35" s="126"/>
      <c r="H35" s="126"/>
      <c r="I35" s="126"/>
      <c r="J35" s="126"/>
      <c r="K35" s="126"/>
      <c r="L35" s="126"/>
      <c r="M35" s="126"/>
      <c r="N35" s="126"/>
      <c r="O35" s="126"/>
      <c r="P35" s="126"/>
      <c r="Q35" s="126"/>
      <c r="R35" s="126"/>
    </row>
    <row r="36" spans="1:19" s="31" customFormat="1" ht="18" x14ac:dyDescent="0.2">
      <c r="B36" s="47" t="s">
        <v>795</v>
      </c>
      <c r="C36" s="50"/>
      <c r="D36" s="126"/>
      <c r="E36" s="126"/>
      <c r="F36" s="126"/>
      <c r="G36" s="126"/>
      <c r="H36" s="126"/>
      <c r="I36" s="126"/>
      <c r="J36" s="126"/>
      <c r="K36" s="126"/>
      <c r="L36" s="126"/>
      <c r="M36" s="126"/>
      <c r="N36" s="126"/>
      <c r="O36" s="126"/>
      <c r="P36" s="126"/>
      <c r="Q36" s="126"/>
      <c r="R36" s="126"/>
    </row>
    <row r="37" spans="1:19" s="31" customFormat="1" ht="18" x14ac:dyDescent="0.2">
      <c r="A37" s="47"/>
      <c r="B37" s="65" t="str">
        <f>'Revenue Input'!B33</f>
        <v>8660</v>
      </c>
      <c r="C37" s="65" t="str">
        <f>'Revenue Input'!C33</f>
        <v>Interest</v>
      </c>
      <c r="D37" s="64">
        <f>IF('Revenue Input'!$D33="","",IF('Cash Flow %s Yr1'!D37="","",'Cash Flow %s Yr1'!D37*'Revenue Input'!$D33))</f>
        <v>78.435000000000002</v>
      </c>
      <c r="E37" s="64">
        <f>IF('Revenue Input'!$D33="","",IF('Cash Flow %s Yr1'!E37="","",'Cash Flow %s Yr1'!E37*'Revenue Input'!$D33))</f>
        <v>78.435000000000002</v>
      </c>
      <c r="F37" s="64">
        <f>IF('Revenue Input'!$D33="","",IF('Cash Flow %s Yr1'!F37="","",'Cash Flow %s Yr1'!F37*'Revenue Input'!$D33))</f>
        <v>78.435000000000002</v>
      </c>
      <c r="G37" s="64">
        <f>IF('Revenue Input'!$D33="","",IF('Cash Flow %s Yr1'!G37="","",'Cash Flow %s Yr1'!G37*'Revenue Input'!$D33))</f>
        <v>78.435000000000002</v>
      </c>
      <c r="H37" s="64">
        <f>IF('Revenue Input'!$D33="","",IF('Cash Flow %s Yr1'!H37="","",'Cash Flow %s Yr1'!H37*'Revenue Input'!$D33))</f>
        <v>78.435000000000002</v>
      </c>
      <c r="I37" s="64">
        <f>IF('Revenue Input'!$D33="","",IF('Cash Flow %s Yr1'!I37="","",'Cash Flow %s Yr1'!I37*'Revenue Input'!$D33))</f>
        <v>78.435000000000002</v>
      </c>
      <c r="J37" s="64">
        <f>IF('Revenue Input'!$D33="","",IF('Cash Flow %s Yr1'!J37="","",'Cash Flow %s Yr1'!J37*'Revenue Input'!$D33))</f>
        <v>78.435000000000002</v>
      </c>
      <c r="K37" s="64">
        <f>IF('Revenue Input'!$D33="","",IF('Cash Flow %s Yr1'!K37="","",'Cash Flow %s Yr1'!K37*'Revenue Input'!$D33))</f>
        <v>78.435000000000002</v>
      </c>
      <c r="L37" s="64">
        <f>IF('Revenue Input'!$D33="","",IF('Cash Flow %s Yr1'!L37="","",'Cash Flow %s Yr1'!L37*'Revenue Input'!$D33))</f>
        <v>79.38000000000001</v>
      </c>
      <c r="M37" s="64">
        <f>IF('Revenue Input'!$D33="","",IF('Cash Flow %s Yr1'!M37="","",'Cash Flow %s Yr1'!M37*'Revenue Input'!$D33))</f>
        <v>79.38000000000001</v>
      </c>
      <c r="N37" s="64">
        <f>IF('Revenue Input'!$D33="","",IF('Cash Flow %s Yr1'!N37="","",'Cash Flow %s Yr1'!N37*'Revenue Input'!$D33))</f>
        <v>79.38000000000001</v>
      </c>
      <c r="O37" s="64">
        <f>IF('Revenue Input'!$D33="","",IF('Cash Flow %s Yr1'!O37="","0",'Cash Flow %s Yr1'!O37*'Revenue Input'!$D33))</f>
        <v>79.38000000000001</v>
      </c>
      <c r="P37" s="64" t="str">
        <f>IF('Revenue Input'!$D33="","",IF('Cash Flow %s Yr1'!P37="","0",'Cash Flow %s Yr1'!P37*'Revenue Input'!$D33))</f>
        <v>0</v>
      </c>
      <c r="Q37" s="64" t="str">
        <f>IF('Revenue Input'!$D33="","",IF('Cash Flow %s Yr1'!Q37="","0",'Cash Flow %s Yr1'!Q37*'Revenue Input'!$D33))</f>
        <v>0</v>
      </c>
      <c r="R37" s="64" t="str">
        <f>IF('Revenue Input'!$D33="","",IF('Cash Flow %s Yr1'!R37="","0",'Cash Flow %s Yr1'!R37*'Revenue Input'!$D33))</f>
        <v>0</v>
      </c>
      <c r="S37" s="111">
        <f>IF(SUM(D37:R37)&gt;0,SUM(D37:R37)/'Revenue Input'!$D33,"")</f>
        <v>1</v>
      </c>
    </row>
    <row r="38" spans="1:19" s="31" customFormat="1" ht="18" x14ac:dyDescent="0.2">
      <c r="A38" s="47"/>
      <c r="B38" s="65" t="str">
        <f>'Revenue Input'!B34</f>
        <v>8782</v>
      </c>
      <c r="C38" s="65" t="str">
        <f>'Revenue Input'!C34</f>
        <v>All Other Transfers from County Offices</v>
      </c>
      <c r="D38" s="64" t="str">
        <f>IF('Revenue Input'!$D34="","",IF('Cash Flow %s Yr1'!D38="","",'Cash Flow %s Yr1'!D38*'Revenue Input'!$D34))</f>
        <v/>
      </c>
      <c r="E38" s="64" t="str">
        <f>IF('Revenue Input'!$D34="","",IF('Cash Flow %s Yr1'!E38="","",'Cash Flow %s Yr1'!E38*'Revenue Input'!$D34))</f>
        <v/>
      </c>
      <c r="F38" s="64" t="str">
        <f>IF('Revenue Input'!$D34="","",IF('Cash Flow %s Yr1'!F38="","",'Cash Flow %s Yr1'!F38*'Revenue Input'!$D34))</f>
        <v/>
      </c>
      <c r="G38" s="64" t="str">
        <f>IF('Revenue Input'!$D34="","",IF('Cash Flow %s Yr1'!G38="","",'Cash Flow %s Yr1'!G38*'Revenue Input'!$D34))</f>
        <v/>
      </c>
      <c r="H38" s="64" t="str">
        <f>IF('Revenue Input'!$D34="","",IF('Cash Flow %s Yr1'!H38="","",'Cash Flow %s Yr1'!H38*'Revenue Input'!$D34))</f>
        <v/>
      </c>
      <c r="I38" s="64" t="str">
        <f>IF('Revenue Input'!$D34="","",IF('Cash Flow %s Yr1'!I38="","",'Cash Flow %s Yr1'!I38*'Revenue Input'!$D34))</f>
        <v/>
      </c>
      <c r="J38" s="64" t="str">
        <f>IF('Revenue Input'!$D34="","",IF('Cash Flow %s Yr1'!J38="","",'Cash Flow %s Yr1'!J38*'Revenue Input'!$D34))</f>
        <v/>
      </c>
      <c r="K38" s="64" t="str">
        <f>IF('Revenue Input'!$D34="","",IF('Cash Flow %s Yr1'!K38="","",'Cash Flow %s Yr1'!K38*'Revenue Input'!$D34))</f>
        <v/>
      </c>
      <c r="L38" s="64" t="str">
        <f>IF('Revenue Input'!$D34="","",IF('Cash Flow %s Yr1'!L38="","",'Cash Flow %s Yr1'!L38*'Revenue Input'!$D34))</f>
        <v/>
      </c>
      <c r="M38" s="64" t="str">
        <f>IF('Revenue Input'!$D34="","",IF('Cash Flow %s Yr1'!M38="","",'Cash Flow %s Yr1'!M38*'Revenue Input'!$D34))</f>
        <v/>
      </c>
      <c r="N38" s="64" t="str">
        <f>IF('Revenue Input'!$D34="","",IF('Cash Flow %s Yr1'!N38="","",'Cash Flow %s Yr1'!N38*'Revenue Input'!$D34))</f>
        <v/>
      </c>
      <c r="O38" s="64" t="str">
        <f>IF('Revenue Input'!$D34="","",IF('Cash Flow %s Yr1'!O38="","0",'Cash Flow %s Yr1'!O38*'Revenue Input'!$D34))</f>
        <v/>
      </c>
      <c r="P38" s="64" t="str">
        <f>IF('Revenue Input'!$D34="","",IF('Cash Flow %s Yr1'!P38="","0",'Cash Flow %s Yr1'!P38*'Revenue Input'!$D34))</f>
        <v/>
      </c>
      <c r="Q38" s="64" t="str">
        <f>IF('Revenue Input'!$D34="","",IF('Cash Flow %s Yr1'!Q38="","0",'Cash Flow %s Yr1'!Q38*'Revenue Input'!$D34))</f>
        <v/>
      </c>
      <c r="R38" s="64" t="str">
        <f>IF('Revenue Input'!$D34="","",IF('Cash Flow %s Yr1'!R38="","0",'Cash Flow %s Yr1'!R38*'Revenue Input'!$D34))</f>
        <v/>
      </c>
      <c r="S38" s="111" t="str">
        <f>IF(SUM(D38:R38)&gt;0,SUM(D38:R38)/'Revenue Input'!$D34,"")</f>
        <v/>
      </c>
    </row>
    <row r="39" spans="1:19" s="31" customFormat="1" ht="18" x14ac:dyDescent="0.2">
      <c r="A39" s="47"/>
      <c r="B39" s="65" t="str">
        <f>'Revenue Input'!B35</f>
        <v>8784</v>
      </c>
      <c r="C39" s="65" t="str">
        <f>'Revenue Input'!C35</f>
        <v>All Other Transfers from Other Locations</v>
      </c>
      <c r="D39" s="64" t="str">
        <f>IF('Revenue Input'!$D35="","",IF('Cash Flow %s Yr1'!D39="","",'Cash Flow %s Yr1'!D39*'Revenue Input'!$D35))</f>
        <v/>
      </c>
      <c r="E39" s="64" t="str">
        <f>IF('Revenue Input'!$D35="","",IF('Cash Flow %s Yr1'!E39="","",'Cash Flow %s Yr1'!E39*'Revenue Input'!$D35))</f>
        <v/>
      </c>
      <c r="F39" s="64" t="str">
        <f>IF('Revenue Input'!$D35="","",IF('Cash Flow %s Yr1'!F39="","",'Cash Flow %s Yr1'!F39*'Revenue Input'!$D35))</f>
        <v/>
      </c>
      <c r="G39" s="64" t="str">
        <f>IF('Revenue Input'!$D35="","",IF('Cash Flow %s Yr1'!G39="","",'Cash Flow %s Yr1'!G39*'Revenue Input'!$D35))</f>
        <v/>
      </c>
      <c r="H39" s="64" t="str">
        <f>IF('Revenue Input'!$D35="","",IF('Cash Flow %s Yr1'!H39="","",'Cash Flow %s Yr1'!H39*'Revenue Input'!$D35))</f>
        <v/>
      </c>
      <c r="I39" s="64" t="str">
        <f>IF('Revenue Input'!$D35="","",IF('Cash Flow %s Yr1'!I39="","",'Cash Flow %s Yr1'!I39*'Revenue Input'!$D35))</f>
        <v/>
      </c>
      <c r="J39" s="64" t="str">
        <f>IF('Revenue Input'!$D35="","",IF('Cash Flow %s Yr1'!J39="","",'Cash Flow %s Yr1'!J39*'Revenue Input'!$D35))</f>
        <v/>
      </c>
      <c r="K39" s="64" t="str">
        <f>IF('Revenue Input'!$D35="","",IF('Cash Flow %s Yr1'!K39="","",'Cash Flow %s Yr1'!K39*'Revenue Input'!$D35))</f>
        <v/>
      </c>
      <c r="L39" s="64" t="str">
        <f>IF('Revenue Input'!$D35="","",IF('Cash Flow %s Yr1'!L39="","",'Cash Flow %s Yr1'!L39*'Revenue Input'!$D35))</f>
        <v/>
      </c>
      <c r="M39" s="64" t="str">
        <f>IF('Revenue Input'!$D35="","",IF('Cash Flow %s Yr1'!M39="","",'Cash Flow %s Yr1'!M39*'Revenue Input'!$D35))</f>
        <v/>
      </c>
      <c r="N39" s="64" t="str">
        <f>IF('Revenue Input'!$D35="","",IF('Cash Flow %s Yr1'!N39="","",'Cash Flow %s Yr1'!N39*'Revenue Input'!$D35))</f>
        <v/>
      </c>
      <c r="O39" s="64" t="str">
        <f>IF('Revenue Input'!$D35="","",IF('Cash Flow %s Yr1'!O39="","0",'Cash Flow %s Yr1'!O39*'Revenue Input'!$D35))</f>
        <v/>
      </c>
      <c r="P39" s="64" t="str">
        <f>IF('Revenue Input'!$D35="","",IF('Cash Flow %s Yr1'!P39="","0",'Cash Flow %s Yr1'!P39*'Revenue Input'!$D35))</f>
        <v/>
      </c>
      <c r="Q39" s="64" t="str">
        <f>IF('Revenue Input'!$D35="","",IF('Cash Flow %s Yr1'!Q39="","0",'Cash Flow %s Yr1'!Q39*'Revenue Input'!$D35))</f>
        <v/>
      </c>
      <c r="R39" s="64" t="str">
        <f>IF('Revenue Input'!$D35="","",IF('Cash Flow %s Yr1'!R39="","0",'Cash Flow %s Yr1'!R39*'Revenue Input'!$D35))</f>
        <v/>
      </c>
      <c r="S39" s="111" t="str">
        <f>IF(SUM(D39:R39)&gt;0,SUM(D39:R39)/'Revenue Input'!$D35,"")</f>
        <v/>
      </c>
    </row>
    <row r="40" spans="1:19" s="31" customFormat="1" x14ac:dyDescent="0.2">
      <c r="A40" s="49"/>
      <c r="B40" s="65" t="str">
        <f>'Revenue Input'!B36</f>
        <v>8785</v>
      </c>
      <c r="C40" s="65" t="str">
        <f>'Revenue Input'!C36</f>
        <v>CMO Management fee</v>
      </c>
      <c r="D40" s="64" t="str">
        <f>IF('Revenue Input'!$D36="","",IF('Cash Flow %s Yr1'!D40="","",'Cash Flow %s Yr1'!D40*'Revenue Input'!$D36))</f>
        <v/>
      </c>
      <c r="E40" s="64" t="str">
        <f>IF('Revenue Input'!$D36="","",IF('Cash Flow %s Yr1'!E40="","",'Cash Flow %s Yr1'!E40*'Revenue Input'!$D36))</f>
        <v/>
      </c>
      <c r="F40" s="64" t="str">
        <f>IF('Revenue Input'!$D36="","",IF('Cash Flow %s Yr1'!F40="","",'Cash Flow %s Yr1'!F40*'Revenue Input'!$D36))</f>
        <v/>
      </c>
      <c r="G40" s="64" t="str">
        <f>IF('Revenue Input'!$D36="","",IF('Cash Flow %s Yr1'!G40="","",'Cash Flow %s Yr1'!G40*'Revenue Input'!$D36))</f>
        <v/>
      </c>
      <c r="H40" s="64" t="str">
        <f>IF('Revenue Input'!$D36="","",IF('Cash Flow %s Yr1'!H40="","",'Cash Flow %s Yr1'!H40*'Revenue Input'!$D36))</f>
        <v/>
      </c>
      <c r="I40" s="64" t="str">
        <f>IF('Revenue Input'!$D36="","",IF('Cash Flow %s Yr1'!I40="","",'Cash Flow %s Yr1'!I40*'Revenue Input'!$D36))</f>
        <v/>
      </c>
      <c r="J40" s="64" t="str">
        <f>IF('Revenue Input'!$D36="","",IF('Cash Flow %s Yr1'!J40="","",'Cash Flow %s Yr1'!J40*'Revenue Input'!$D36))</f>
        <v/>
      </c>
      <c r="K40" s="64" t="str">
        <f>IF('Revenue Input'!$D36="","",IF('Cash Flow %s Yr1'!K40="","",'Cash Flow %s Yr1'!K40*'Revenue Input'!$D36))</f>
        <v/>
      </c>
      <c r="L40" s="64" t="str">
        <f>IF('Revenue Input'!$D36="","",IF('Cash Flow %s Yr1'!L40="","",'Cash Flow %s Yr1'!L40*'Revenue Input'!$D36))</f>
        <v/>
      </c>
      <c r="M40" s="64" t="str">
        <f>IF('Revenue Input'!$D36="","",IF('Cash Flow %s Yr1'!M40="","",'Cash Flow %s Yr1'!M40*'Revenue Input'!$D36))</f>
        <v/>
      </c>
      <c r="N40" s="64" t="str">
        <f>IF('Revenue Input'!$D36="","",IF('Cash Flow %s Yr1'!N40="","",'Cash Flow %s Yr1'!N40*'Revenue Input'!$D36))</f>
        <v/>
      </c>
      <c r="O40" s="64" t="str">
        <f>IF('Revenue Input'!$D36="","",IF('Cash Flow %s Yr1'!O40="","0",'Cash Flow %s Yr1'!O40*'Revenue Input'!$D36))</f>
        <v/>
      </c>
      <c r="P40" s="64" t="str">
        <f>IF('Revenue Input'!$D36="","",IF('Cash Flow %s Yr1'!P40="","0",'Cash Flow %s Yr1'!P40*'Revenue Input'!$D36))</f>
        <v/>
      </c>
      <c r="Q40" s="64" t="str">
        <f>IF('Revenue Input'!$D36="","",IF('Cash Flow %s Yr1'!Q40="","0",'Cash Flow %s Yr1'!Q40*'Revenue Input'!$D36))</f>
        <v/>
      </c>
      <c r="R40" s="64" t="str">
        <f>IF('Revenue Input'!$D36="","",IF('Cash Flow %s Yr1'!R40="","0",'Cash Flow %s Yr1'!R40*'Revenue Input'!$D36))</f>
        <v/>
      </c>
      <c r="S40" s="111" t="str">
        <f>IF(SUM(D40:R40)&gt;0,SUM(D40:R40)/'Revenue Input'!$D36,"")</f>
        <v/>
      </c>
    </row>
    <row r="41" spans="1:19" s="31" customFormat="1" x14ac:dyDescent="0.2">
      <c r="A41" s="50"/>
      <c r="B41" s="65" t="str">
        <f>'Revenue Input'!B37</f>
        <v>8792</v>
      </c>
      <c r="C41" s="65" t="str">
        <f>'Revenue Input'!C37</f>
        <v>Special Ed - AB 602</v>
      </c>
      <c r="D41" s="64" t="str">
        <f>IF('Revenue Input'!$D37="","",IF('Cash Flow %s Yr1'!D41="","",'Cash Flow %s Yr1'!D41*'Revenue Input'!$D37))</f>
        <v/>
      </c>
      <c r="E41" s="64" t="str">
        <f>IF('Revenue Input'!$D37="","",IF('Cash Flow %s Yr1'!E41="","",'Cash Flow %s Yr1'!E41*'Revenue Input'!$D37))</f>
        <v/>
      </c>
      <c r="F41" s="64" t="str">
        <f>IF('Revenue Input'!$D37="","",IF('Cash Flow %s Yr1'!F41="","",'Cash Flow %s Yr1'!F41*'Revenue Input'!$D37))</f>
        <v/>
      </c>
      <c r="G41" s="64" t="str">
        <f>IF('Revenue Input'!$D37="","",IF('Cash Flow %s Yr1'!G41="","",'Cash Flow %s Yr1'!G41*'Revenue Input'!$D37))</f>
        <v/>
      </c>
      <c r="H41" s="64" t="str">
        <f>IF('Revenue Input'!$D37="","",IF('Cash Flow %s Yr1'!H41="","",'Cash Flow %s Yr1'!H41*'Revenue Input'!$D37))</f>
        <v/>
      </c>
      <c r="I41" s="64" t="str">
        <f>IF('Revenue Input'!$D37="","",IF('Cash Flow %s Yr1'!I41="","",'Cash Flow %s Yr1'!I41*'Revenue Input'!$D37))</f>
        <v/>
      </c>
      <c r="J41" s="64" t="str">
        <f>IF('Revenue Input'!$D37="","",IF('Cash Flow %s Yr1'!J41="","",'Cash Flow %s Yr1'!J41*'Revenue Input'!$D37))</f>
        <v/>
      </c>
      <c r="K41" s="64" t="str">
        <f>IF('Revenue Input'!$D37="","",IF('Cash Flow %s Yr1'!K41="","",'Cash Flow %s Yr1'!K41*'Revenue Input'!$D37))</f>
        <v/>
      </c>
      <c r="L41" s="64" t="str">
        <f>IF('Revenue Input'!$D37="","",IF('Cash Flow %s Yr1'!L41="","",'Cash Flow %s Yr1'!L41*'Revenue Input'!$D37))</f>
        <v/>
      </c>
      <c r="M41" s="64" t="str">
        <f>IF('Revenue Input'!$D37="","",IF('Cash Flow %s Yr1'!M41="","",'Cash Flow %s Yr1'!M41*'Revenue Input'!$D37))</f>
        <v/>
      </c>
      <c r="N41" s="64" t="str">
        <f>IF('Revenue Input'!$D37="","",IF('Cash Flow %s Yr1'!N41="","",'Cash Flow %s Yr1'!N41*'Revenue Input'!$D37))</f>
        <v/>
      </c>
      <c r="O41" s="64" t="str">
        <f>IF('Revenue Input'!$D37="","",IF('Cash Flow %s Yr1'!O41="","0",'Cash Flow %s Yr1'!O41*'Revenue Input'!$D37))</f>
        <v/>
      </c>
      <c r="P41" s="64" t="str">
        <f>IF('Revenue Input'!$D37="","",IF('Cash Flow %s Yr1'!P41="","0",'Cash Flow %s Yr1'!P41*'Revenue Input'!$D37))</f>
        <v/>
      </c>
      <c r="Q41" s="64" t="str">
        <f>IF('Revenue Input'!$D37="","",IF('Cash Flow %s Yr1'!Q41="","0",'Cash Flow %s Yr1'!Q41*'Revenue Input'!$D37))</f>
        <v/>
      </c>
      <c r="R41" s="64" t="str">
        <f>IF('Revenue Input'!$D37="","",IF('Cash Flow %s Yr1'!R41="","0",'Cash Flow %s Yr1'!R41*'Revenue Input'!$D37))</f>
        <v/>
      </c>
      <c r="S41" s="111" t="str">
        <f>IF(SUM(D41:R41)&gt;0,SUM(D41:R41)/'Revenue Input'!$D37,"")</f>
        <v/>
      </c>
    </row>
    <row r="42" spans="1:19" s="31" customFormat="1" ht="18" x14ac:dyDescent="0.2">
      <c r="A42" s="47"/>
      <c r="B42" s="65" t="str">
        <f>'Revenue Input'!B38</f>
        <v>8980</v>
      </c>
      <c r="C42" s="65" t="str">
        <f>'Revenue Input'!C38</f>
        <v>Student Lunch Revenue</v>
      </c>
      <c r="D42" s="64" t="str">
        <f>IF('Revenue Input'!$D38="","",IF('Cash Flow %s Yr1'!D42="","",'Cash Flow %s Yr1'!D42*'Revenue Input'!$D38))</f>
        <v/>
      </c>
      <c r="E42" s="64" t="str">
        <f>IF('Revenue Input'!$D38="","",IF('Cash Flow %s Yr1'!E42="","",'Cash Flow %s Yr1'!E42*'Revenue Input'!$D38))</f>
        <v/>
      </c>
      <c r="F42" s="64" t="str">
        <f>IF('Revenue Input'!$D38="","",IF('Cash Flow %s Yr1'!F42="","",'Cash Flow %s Yr1'!F42*'Revenue Input'!$D38))</f>
        <v/>
      </c>
      <c r="G42" s="64" t="str">
        <f>IF('Revenue Input'!$D38="","",IF('Cash Flow %s Yr1'!G42="","",'Cash Flow %s Yr1'!G42*'Revenue Input'!$D38))</f>
        <v/>
      </c>
      <c r="H42" s="64" t="str">
        <f>IF('Revenue Input'!$D38="","",IF('Cash Flow %s Yr1'!H42="","",'Cash Flow %s Yr1'!H42*'Revenue Input'!$D38))</f>
        <v/>
      </c>
      <c r="I42" s="64" t="str">
        <f>IF('Revenue Input'!$D38="","",IF('Cash Flow %s Yr1'!I42="","",'Cash Flow %s Yr1'!I42*'Revenue Input'!$D38))</f>
        <v/>
      </c>
      <c r="J42" s="64" t="str">
        <f>IF('Revenue Input'!$D38="","",IF('Cash Flow %s Yr1'!J42="","",'Cash Flow %s Yr1'!J42*'Revenue Input'!$D38))</f>
        <v/>
      </c>
      <c r="K42" s="64" t="str">
        <f>IF('Revenue Input'!$D38="","",IF('Cash Flow %s Yr1'!K42="","",'Cash Flow %s Yr1'!K42*'Revenue Input'!$D38))</f>
        <v/>
      </c>
      <c r="L42" s="64" t="str">
        <f>IF('Revenue Input'!$D38="","",IF('Cash Flow %s Yr1'!L42="","",'Cash Flow %s Yr1'!L42*'Revenue Input'!$D38))</f>
        <v/>
      </c>
      <c r="M42" s="64" t="str">
        <f>IF('Revenue Input'!$D38="","",IF('Cash Flow %s Yr1'!M42="","",'Cash Flow %s Yr1'!M42*'Revenue Input'!$D38))</f>
        <v/>
      </c>
      <c r="N42" s="64" t="str">
        <f>IF('Revenue Input'!$D38="","",IF('Cash Flow %s Yr1'!N42="","",'Cash Flow %s Yr1'!N42*'Revenue Input'!$D38))</f>
        <v/>
      </c>
      <c r="O42" s="64" t="str">
        <f>IF('Revenue Input'!$D38="","",IF('Cash Flow %s Yr1'!O42="","0",'Cash Flow %s Yr1'!O42*'Revenue Input'!$D38))</f>
        <v/>
      </c>
      <c r="P42" s="64" t="str">
        <f>IF('Revenue Input'!$D38="","",IF('Cash Flow %s Yr1'!P42="","0",'Cash Flow %s Yr1'!P42*'Revenue Input'!$D38))</f>
        <v/>
      </c>
      <c r="Q42" s="64" t="str">
        <f>IF('Revenue Input'!$D38="","",IF('Cash Flow %s Yr1'!Q42="","0",'Cash Flow %s Yr1'!Q42*'Revenue Input'!$D38))</f>
        <v/>
      </c>
      <c r="R42" s="64" t="str">
        <f>IF('Revenue Input'!$D38="","",IF('Cash Flow %s Yr1'!R42="","0",'Cash Flow %s Yr1'!R42*'Revenue Input'!$D38))</f>
        <v/>
      </c>
      <c r="S42" s="111" t="str">
        <f>IF(SUM(D42:R42)&gt;0,SUM(D42:R42)/'Revenue Input'!$D38,"")</f>
        <v/>
      </c>
    </row>
    <row r="43" spans="1:19" s="31" customFormat="1" ht="18" x14ac:dyDescent="0.2">
      <c r="A43" s="47"/>
      <c r="B43" s="65" t="str">
        <f>'Revenue Input'!B39</f>
        <v>8982</v>
      </c>
      <c r="C43" s="65" t="str">
        <f>'Revenue Input'!C39</f>
        <v>Foundation Grants</v>
      </c>
      <c r="D43" s="64" t="str">
        <f>IF('Revenue Input'!$D39="","",IF('Cash Flow %s Yr1'!D43="","",'Cash Flow %s Yr1'!D43*'Revenue Input'!$D39))</f>
        <v/>
      </c>
      <c r="E43" s="64" t="str">
        <f>IF('Revenue Input'!$D39="","",IF('Cash Flow %s Yr1'!E43="","",'Cash Flow %s Yr1'!E43*'Revenue Input'!$D39))</f>
        <v/>
      </c>
      <c r="F43" s="64" t="str">
        <f>IF('Revenue Input'!$D39="","",IF('Cash Flow %s Yr1'!F43="","",'Cash Flow %s Yr1'!F43*'Revenue Input'!$D39))</f>
        <v/>
      </c>
      <c r="G43" s="64" t="str">
        <f>IF('Revenue Input'!$D39="","",IF('Cash Flow %s Yr1'!G43="","",'Cash Flow %s Yr1'!G43*'Revenue Input'!$D39))</f>
        <v/>
      </c>
      <c r="H43" s="64" t="str">
        <f>IF('Revenue Input'!$D39="","",IF('Cash Flow %s Yr1'!H43="","",'Cash Flow %s Yr1'!H43*'Revenue Input'!$D39))</f>
        <v/>
      </c>
      <c r="I43" s="64" t="str">
        <f>IF('Revenue Input'!$D39="","",IF('Cash Flow %s Yr1'!I43="","",'Cash Flow %s Yr1'!I43*'Revenue Input'!$D39))</f>
        <v/>
      </c>
      <c r="J43" s="64" t="str">
        <f>IF('Revenue Input'!$D39="","",IF('Cash Flow %s Yr1'!J43="","",'Cash Flow %s Yr1'!J43*'Revenue Input'!$D39))</f>
        <v/>
      </c>
      <c r="K43" s="64" t="str">
        <f>IF('Revenue Input'!$D39="","",IF('Cash Flow %s Yr1'!K43="","",'Cash Flow %s Yr1'!K43*'Revenue Input'!$D39))</f>
        <v/>
      </c>
      <c r="L43" s="64" t="str">
        <f>IF('Revenue Input'!$D39="","",IF('Cash Flow %s Yr1'!L43="","",'Cash Flow %s Yr1'!L43*'Revenue Input'!$D39))</f>
        <v/>
      </c>
      <c r="M43" s="64" t="str">
        <f>IF('Revenue Input'!$D39="","",IF('Cash Flow %s Yr1'!M43="","",'Cash Flow %s Yr1'!M43*'Revenue Input'!$D39))</f>
        <v/>
      </c>
      <c r="N43" s="64" t="str">
        <f>IF('Revenue Input'!$D39="","",IF('Cash Flow %s Yr1'!N43="","",'Cash Flow %s Yr1'!N43*'Revenue Input'!$D39))</f>
        <v/>
      </c>
      <c r="O43" s="64" t="str">
        <f>IF('Revenue Input'!$D39="","",IF('Cash Flow %s Yr1'!O43="","0",'Cash Flow %s Yr1'!O43*'Revenue Input'!$D39))</f>
        <v/>
      </c>
      <c r="P43" s="64" t="str">
        <f>IF('Revenue Input'!$D39="","",IF('Cash Flow %s Yr1'!P43="","0",'Cash Flow %s Yr1'!P43*'Revenue Input'!$D39))</f>
        <v/>
      </c>
      <c r="Q43" s="64" t="str">
        <f>IF('Revenue Input'!$D39="","",IF('Cash Flow %s Yr1'!Q43="","0",'Cash Flow %s Yr1'!Q43*'Revenue Input'!$D39))</f>
        <v/>
      </c>
      <c r="R43" s="64" t="str">
        <f>IF('Revenue Input'!$D39="","",IF('Cash Flow %s Yr1'!R43="","0",'Cash Flow %s Yr1'!R43*'Revenue Input'!$D39))</f>
        <v/>
      </c>
      <c r="S43" s="111" t="str">
        <f>IF(SUM(D43:R43)&gt;0,SUM(D43:R43)/'Revenue Input'!$D39,"")</f>
        <v/>
      </c>
    </row>
    <row r="44" spans="1:19" s="31" customFormat="1" ht="18" x14ac:dyDescent="0.2">
      <c r="A44" s="47"/>
      <c r="B44" s="65" t="str">
        <f>'Revenue Input'!B40</f>
        <v>8983</v>
      </c>
      <c r="C44" s="65" t="str">
        <f>'Revenue Input'!C40</f>
        <v>All Other Local Revenue</v>
      </c>
      <c r="D44" s="64" t="str">
        <f>IF('Revenue Input'!$D40="","",IF('Cash Flow %s Yr1'!D44="","",'Cash Flow %s Yr1'!D44*'Revenue Input'!$D40))</f>
        <v/>
      </c>
      <c r="E44" s="64" t="str">
        <f>IF('Revenue Input'!$D40="","",IF('Cash Flow %s Yr1'!E44="","",'Cash Flow %s Yr1'!E44*'Revenue Input'!$D40))</f>
        <v/>
      </c>
      <c r="F44" s="64" t="str">
        <f>IF('Revenue Input'!$D40="","",IF('Cash Flow %s Yr1'!F44="","",'Cash Flow %s Yr1'!F44*'Revenue Input'!$D40))</f>
        <v/>
      </c>
      <c r="G44" s="64" t="str">
        <f>IF('Revenue Input'!$D40="","",IF('Cash Flow %s Yr1'!G44="","",'Cash Flow %s Yr1'!G44*'Revenue Input'!$D40))</f>
        <v/>
      </c>
      <c r="H44" s="64">
        <f>IF('Revenue Input'!$D40="","",IF('Cash Flow %s Yr1'!H44="","",'Cash Flow %s Yr1'!H44*'Revenue Input'!$D40))</f>
        <v>1.7000000000000002</v>
      </c>
      <c r="I44" s="64">
        <f>IF('Revenue Input'!$D40="","",IF('Cash Flow %s Yr1'!I44="","",'Cash Flow %s Yr1'!I44*'Revenue Input'!$D40))</f>
        <v>1.7000000000000002</v>
      </c>
      <c r="J44" s="64">
        <f>IF('Revenue Input'!$D40="","",IF('Cash Flow %s Yr1'!J44="","",'Cash Flow %s Yr1'!J44*'Revenue Input'!$D40))</f>
        <v>1.7000000000000002</v>
      </c>
      <c r="K44" s="64">
        <f>IF('Revenue Input'!$D40="","",IF('Cash Flow %s Yr1'!K44="","",'Cash Flow %s Yr1'!K44*'Revenue Input'!$D40))</f>
        <v>1.7000000000000002</v>
      </c>
      <c r="L44" s="64">
        <f>IF('Revenue Input'!$D40="","",IF('Cash Flow %s Yr1'!L44="","",'Cash Flow %s Yr1'!L44*'Revenue Input'!$D40))</f>
        <v>1.7000000000000002</v>
      </c>
      <c r="M44" s="64">
        <f>IF('Revenue Input'!$D40="","",IF('Cash Flow %s Yr1'!M44="","",'Cash Flow %s Yr1'!M44*'Revenue Input'!$D40))</f>
        <v>1.7000000000000002</v>
      </c>
      <c r="N44" s="64">
        <f>IF('Revenue Input'!$D40="","",IF('Cash Flow %s Yr1'!N44="","",'Cash Flow %s Yr1'!N44*'Revenue Input'!$D40))</f>
        <v>1.7000000000000002</v>
      </c>
      <c r="O44" s="64">
        <f>IF('Revenue Input'!$D40="","",IF('Cash Flow %s Yr1'!O44="","0",'Cash Flow %s Yr1'!O44*'Revenue Input'!$D40))</f>
        <v>1.7000000000000002</v>
      </c>
      <c r="P44" s="64">
        <f>IF('Revenue Input'!$D40="","",IF('Cash Flow %s Yr1'!P44="","0",'Cash Flow %s Yr1'!P44*'Revenue Input'!$D40))</f>
        <v>1.7000000000000002</v>
      </c>
      <c r="Q44" s="64">
        <f>IF('Revenue Input'!$D40="","",IF('Cash Flow %s Yr1'!Q44="","0",'Cash Flow %s Yr1'!Q44*'Revenue Input'!$D40))</f>
        <v>1.7000000000000002</v>
      </c>
      <c r="R44" s="64" t="str">
        <f>IF('Revenue Input'!$D40="","",IF('Cash Flow %s Yr1'!R44="","0",'Cash Flow %s Yr1'!R44*'Revenue Input'!$D40))</f>
        <v>0</v>
      </c>
      <c r="S44" s="111">
        <f>IF(SUM(D44:R44)&gt;0,SUM(D44:R44)/'Revenue Input'!$D40,"")</f>
        <v>0.99999999999999978</v>
      </c>
    </row>
    <row r="45" spans="1:19" s="31" customFormat="1" ht="18" x14ac:dyDescent="0.2">
      <c r="A45" s="47"/>
      <c r="B45" s="65" t="str">
        <f>'Revenue Input'!B41</f>
        <v>8984</v>
      </c>
      <c r="C45" s="65" t="str">
        <f>'Revenue Input'!C41</f>
        <v>Student Body (ASB) Fundraising Revenue</v>
      </c>
      <c r="D45" s="64" t="str">
        <f>IF('Revenue Input'!$D41="","",IF('Cash Flow %s Yr1'!D45="","",'Cash Flow %s Yr1'!D45*'Revenue Input'!$D41))</f>
        <v/>
      </c>
      <c r="E45" s="64" t="str">
        <f>IF('Revenue Input'!$D41="","",IF('Cash Flow %s Yr1'!E45="","",'Cash Flow %s Yr1'!E45*'Revenue Input'!$D41))</f>
        <v/>
      </c>
      <c r="F45" s="64" t="str">
        <f>IF('Revenue Input'!$D41="","",IF('Cash Flow %s Yr1'!F45="","",'Cash Flow %s Yr1'!F45*'Revenue Input'!$D41))</f>
        <v/>
      </c>
      <c r="G45" s="64" t="str">
        <f>IF('Revenue Input'!$D41="","",IF('Cash Flow %s Yr1'!G45="","",'Cash Flow %s Yr1'!G45*'Revenue Input'!$D41))</f>
        <v/>
      </c>
      <c r="H45" s="64" t="str">
        <f>IF('Revenue Input'!$D41="","",IF('Cash Flow %s Yr1'!H45="","",'Cash Flow %s Yr1'!H45*'Revenue Input'!$D41))</f>
        <v/>
      </c>
      <c r="I45" s="64" t="str">
        <f>IF('Revenue Input'!$D41="","",IF('Cash Flow %s Yr1'!I45="","",'Cash Flow %s Yr1'!I45*'Revenue Input'!$D41))</f>
        <v/>
      </c>
      <c r="J45" s="64" t="str">
        <f>IF('Revenue Input'!$D41="","",IF('Cash Flow %s Yr1'!J45="","",'Cash Flow %s Yr1'!J45*'Revenue Input'!$D41))</f>
        <v/>
      </c>
      <c r="K45" s="64" t="str">
        <f>IF('Revenue Input'!$D41="","",IF('Cash Flow %s Yr1'!K45="","",'Cash Flow %s Yr1'!K45*'Revenue Input'!$D41))</f>
        <v/>
      </c>
      <c r="L45" s="64" t="str">
        <f>IF('Revenue Input'!$D41="","",IF('Cash Flow %s Yr1'!L45="","",'Cash Flow %s Yr1'!L45*'Revenue Input'!$D41))</f>
        <v/>
      </c>
      <c r="M45" s="64" t="str">
        <f>IF('Revenue Input'!$D41="","",IF('Cash Flow %s Yr1'!M45="","",'Cash Flow %s Yr1'!M45*'Revenue Input'!$D41))</f>
        <v/>
      </c>
      <c r="N45" s="64" t="str">
        <f>IF('Revenue Input'!$D41="","",IF('Cash Flow %s Yr1'!N45="","",'Cash Flow %s Yr1'!N45*'Revenue Input'!$D41))</f>
        <v/>
      </c>
      <c r="O45" s="64" t="str">
        <f>IF('Revenue Input'!$D41="","",IF('Cash Flow %s Yr1'!O45="","0",'Cash Flow %s Yr1'!O45*'Revenue Input'!$D41))</f>
        <v/>
      </c>
      <c r="P45" s="64" t="str">
        <f>IF('Revenue Input'!$D41="","",IF('Cash Flow %s Yr1'!P45="","0",'Cash Flow %s Yr1'!P45*'Revenue Input'!$D41))</f>
        <v/>
      </c>
      <c r="Q45" s="64" t="str">
        <f>IF('Revenue Input'!$D41="","",IF('Cash Flow %s Yr1'!Q45="","0",'Cash Flow %s Yr1'!Q45*'Revenue Input'!$D41))</f>
        <v/>
      </c>
      <c r="R45" s="64" t="str">
        <f>IF('Revenue Input'!$D41="","",IF('Cash Flow %s Yr1'!R45="","0",'Cash Flow %s Yr1'!R45*'Revenue Input'!$D41))</f>
        <v/>
      </c>
      <c r="S45" s="111" t="str">
        <f>IF(SUM(D45:R45)&gt;0,SUM(D45:R45)/'Revenue Input'!$D41,"")</f>
        <v/>
      </c>
    </row>
    <row r="46" spans="1:19" s="31" customFormat="1" ht="18" x14ac:dyDescent="0.2">
      <c r="A46" s="47"/>
      <c r="B46" s="65" t="str">
        <f>'Revenue Input'!B42</f>
        <v>8985</v>
      </c>
      <c r="C46" s="65" t="str">
        <f>'Revenue Input'!C42</f>
        <v>School Site Fundraising</v>
      </c>
      <c r="D46" s="64" t="str">
        <f>IF('Revenue Input'!$D42="","",IF('Cash Flow %s Yr1'!D49="","",'Cash Flow %s Yr1'!D49*'Revenue Input'!$D42))</f>
        <v/>
      </c>
      <c r="E46" s="64" t="str">
        <f>IF('Revenue Input'!$D42="","",IF('Cash Flow %s Yr1'!E49="","",'Cash Flow %s Yr1'!E49*'Revenue Input'!$D42))</f>
        <v/>
      </c>
      <c r="F46" s="64">
        <f>IF('Revenue Input'!$D42="","",IF('Cash Flow %s Yr1'!F49="","",'Cash Flow %s Yr1'!F49*'Revenue Input'!$D42))</f>
        <v>5011.8</v>
      </c>
      <c r="G46" s="64">
        <f>IF('Revenue Input'!$D42="","",IF('Cash Flow %s Yr1'!G49="","",'Cash Flow %s Yr1'!G49*'Revenue Input'!$D42))</f>
        <v>5011.8</v>
      </c>
      <c r="H46" s="64">
        <f>IF('Revenue Input'!$D42="","",IF('Cash Flow %s Yr1'!H49="","",'Cash Flow %s Yr1'!H49*'Revenue Input'!$D42))</f>
        <v>5011.8</v>
      </c>
      <c r="I46" s="64">
        <f>IF('Revenue Input'!$D42="","",IF('Cash Flow %s Yr1'!I49="","",'Cash Flow %s Yr1'!I49*'Revenue Input'!$D42))</f>
        <v>5011.8</v>
      </c>
      <c r="J46" s="64">
        <f>IF('Revenue Input'!$D42="","",IF('Cash Flow %s Yr1'!J49="","",'Cash Flow %s Yr1'!J49*'Revenue Input'!$D42))</f>
        <v>5011.8</v>
      </c>
      <c r="K46" s="64">
        <f>IF('Revenue Input'!$D42="","",IF('Cash Flow %s Yr1'!K49="","",'Cash Flow %s Yr1'!K49*'Revenue Input'!$D42))</f>
        <v>5011.8</v>
      </c>
      <c r="L46" s="64">
        <f>IF('Revenue Input'!$D42="","",IF('Cash Flow %s Yr1'!L49="","",'Cash Flow %s Yr1'!L49*'Revenue Input'!$D42))</f>
        <v>5011.8</v>
      </c>
      <c r="M46" s="64">
        <f>IF('Revenue Input'!$D42="","",IF('Cash Flow %s Yr1'!M49="","",'Cash Flow %s Yr1'!M49*'Revenue Input'!$D42))</f>
        <v>5011.8</v>
      </c>
      <c r="N46" s="64">
        <f>IF('Revenue Input'!$D42="","",IF('Cash Flow %s Yr1'!N49="","",'Cash Flow %s Yr1'!N49*'Revenue Input'!$D42))</f>
        <v>5011.8</v>
      </c>
      <c r="O46" s="64">
        <f>IF('Revenue Input'!$D42="","",IF('Cash Flow %s Yr1'!O46="","0",'Cash Flow %s Yr1'!O46*'Revenue Input'!$D42))</f>
        <v>5011.8</v>
      </c>
      <c r="P46" s="64" t="str">
        <f>IF('Revenue Input'!$D42="","",IF('Cash Flow %s Yr1'!P46="","0",'Cash Flow %s Yr1'!P46*'Revenue Input'!$D42))</f>
        <v>0</v>
      </c>
      <c r="Q46" s="64" t="str">
        <f>IF('Revenue Input'!$D42="","",IF('Cash Flow %s Yr1'!Q46="","0",'Cash Flow %s Yr1'!Q46*'Revenue Input'!$D42))</f>
        <v>0</v>
      </c>
      <c r="R46" s="64" t="str">
        <f>IF('Revenue Input'!$D42="","",IF('Cash Flow %s Yr1'!R46="","0",'Cash Flow %s Yr1'!R46*'Revenue Input'!$D42))</f>
        <v>0</v>
      </c>
      <c r="S46" s="111">
        <f>IF(SUM(D46:R46)&gt;0,SUM(D46:R46)/'Revenue Input'!$D42,"")</f>
        <v>1.0000000000000002</v>
      </c>
    </row>
    <row r="47" spans="1:19" s="31" customFormat="1" ht="18" x14ac:dyDescent="0.2">
      <c r="A47" s="47"/>
      <c r="B47" s="65" t="str">
        <f>'Revenue Input'!B43</f>
        <v>8986</v>
      </c>
      <c r="C47" s="65" t="str">
        <f>'Revenue Input'!C43</f>
        <v>Rental Income</v>
      </c>
      <c r="D47" s="64" t="str">
        <f>IF('Revenue Input'!$D43="","",IF('Cash Flow %s Yr1'!D50="","",'Cash Flow %s Yr1'!D50*'Revenue Input'!$D43))</f>
        <v/>
      </c>
      <c r="E47" s="64" t="str">
        <f>IF('Revenue Input'!$D43="","",IF('Cash Flow %s Yr1'!E50="","",'Cash Flow %s Yr1'!E50*'Revenue Input'!$D43))</f>
        <v/>
      </c>
      <c r="F47" s="64" t="str">
        <f>IF('Revenue Input'!$D43="","",IF('Cash Flow %s Yr1'!F50="","",'Cash Flow %s Yr1'!F50*'Revenue Input'!$D43))</f>
        <v/>
      </c>
      <c r="G47" s="64" t="str">
        <f>IF('Revenue Input'!$D43="","",IF('Cash Flow %s Yr1'!G50="","",'Cash Flow %s Yr1'!G50*'Revenue Input'!$D43))</f>
        <v/>
      </c>
      <c r="H47" s="64" t="str">
        <f>IF('Revenue Input'!$D43="","",IF('Cash Flow %s Yr1'!H50="","",'Cash Flow %s Yr1'!H50*'Revenue Input'!$D43))</f>
        <v/>
      </c>
      <c r="I47" s="64" t="str">
        <f>IF('Revenue Input'!$D43="","",IF('Cash Flow %s Yr1'!I50="","",'Cash Flow %s Yr1'!I50*'Revenue Input'!$D43))</f>
        <v/>
      </c>
      <c r="J47" s="64" t="str">
        <f>IF('Revenue Input'!$D43="","",IF('Cash Flow %s Yr1'!J50="","",'Cash Flow %s Yr1'!J50*'Revenue Input'!$D43))</f>
        <v/>
      </c>
      <c r="K47" s="64" t="str">
        <f>IF('Revenue Input'!$D43="","",IF('Cash Flow %s Yr1'!K50="","",'Cash Flow %s Yr1'!K50*'Revenue Input'!$D43))</f>
        <v/>
      </c>
      <c r="L47" s="64" t="str">
        <f>IF('Revenue Input'!$D43="","",IF('Cash Flow %s Yr1'!L50="","",'Cash Flow %s Yr1'!L50*'Revenue Input'!$D43))</f>
        <v/>
      </c>
      <c r="M47" s="64" t="str">
        <f>IF('Revenue Input'!$D43="","",IF('Cash Flow %s Yr1'!M50="","",'Cash Flow %s Yr1'!M50*'Revenue Input'!$D43))</f>
        <v/>
      </c>
      <c r="N47" s="64" t="str">
        <f>IF('Revenue Input'!$D43="","",IF('Cash Flow %s Yr1'!N50="","",'Cash Flow %s Yr1'!N50*'Revenue Input'!$D43))</f>
        <v/>
      </c>
      <c r="O47" s="64" t="str">
        <f>IF('Revenue Input'!$D43="","",IF('Cash Flow %s Yr1'!O47="","0",'Cash Flow %s Yr1'!O47*'Revenue Input'!$D43))</f>
        <v/>
      </c>
      <c r="P47" s="64" t="str">
        <f>IF('Revenue Input'!$D43="","",IF('Cash Flow %s Yr1'!P47="","0",'Cash Flow %s Yr1'!P47*'Revenue Input'!$D43))</f>
        <v/>
      </c>
      <c r="Q47" s="64" t="str">
        <f>IF('Revenue Input'!$D43="","",IF('Cash Flow %s Yr1'!Q47="","0",'Cash Flow %s Yr1'!Q47*'Revenue Input'!$D43))</f>
        <v/>
      </c>
      <c r="R47" s="64" t="str">
        <f>IF('Revenue Input'!$D43="","",IF('Cash Flow %s Yr1'!R47="","0",'Cash Flow %s Yr1'!R47*'Revenue Input'!$D43))</f>
        <v/>
      </c>
      <c r="S47" s="111" t="str">
        <f>IF(SUM(D47:R47)&gt;0,SUM(D47:R47)/'Revenue Input'!$D43,"")</f>
        <v/>
      </c>
    </row>
    <row r="48" spans="1:19" s="31" customFormat="1" ht="18" x14ac:dyDescent="0.2">
      <c r="A48" s="47"/>
      <c r="B48" s="65" t="str">
        <f>'Revenue Input'!B44</f>
        <v>8989</v>
      </c>
      <c r="C48" s="65" t="str">
        <f>'Revenue Input'!C44</f>
        <v>Fees for Service</v>
      </c>
      <c r="D48" s="64" t="str">
        <f>IF('Revenue Input'!$D44="","",IF('Cash Flow %s Yr1'!D51="","",'Cash Flow %s Yr1'!D51*'Revenue Input'!$D44))</f>
        <v/>
      </c>
      <c r="E48" s="64" t="str">
        <f>IF('Revenue Input'!$D44="","",IF('Cash Flow %s Yr1'!E51="","",'Cash Flow %s Yr1'!E51*'Revenue Input'!$D44))</f>
        <v/>
      </c>
      <c r="F48" s="64" t="str">
        <f>IF('Revenue Input'!$D44="","",IF('Cash Flow %s Yr1'!F51="","",'Cash Flow %s Yr1'!F51*'Revenue Input'!$D44))</f>
        <v/>
      </c>
      <c r="G48" s="64" t="str">
        <f>IF('Revenue Input'!$D44="","",IF('Cash Flow %s Yr1'!G51="","",'Cash Flow %s Yr1'!G51*'Revenue Input'!$D44))</f>
        <v/>
      </c>
      <c r="H48" s="64" t="str">
        <f>IF('Revenue Input'!$D44="","",IF('Cash Flow %s Yr1'!H51="","",'Cash Flow %s Yr1'!H51*'Revenue Input'!$D44))</f>
        <v/>
      </c>
      <c r="I48" s="64" t="str">
        <f>IF('Revenue Input'!$D44="","",IF('Cash Flow %s Yr1'!I51="","",'Cash Flow %s Yr1'!I51*'Revenue Input'!$D44))</f>
        <v/>
      </c>
      <c r="J48" s="64" t="str">
        <f>IF('Revenue Input'!$D44="","",IF('Cash Flow %s Yr1'!J51="","",'Cash Flow %s Yr1'!J51*'Revenue Input'!$D44))</f>
        <v/>
      </c>
      <c r="K48" s="64" t="str">
        <f>IF('Revenue Input'!$D44="","",IF('Cash Flow %s Yr1'!K51="","",'Cash Flow %s Yr1'!K51*'Revenue Input'!$D44))</f>
        <v/>
      </c>
      <c r="L48" s="64" t="str">
        <f>IF('Revenue Input'!$D44="","",IF('Cash Flow %s Yr1'!L51="","",'Cash Flow %s Yr1'!L51*'Revenue Input'!$D44))</f>
        <v/>
      </c>
      <c r="M48" s="64" t="str">
        <f>IF('Revenue Input'!$D44="","",IF('Cash Flow %s Yr1'!M51="","",'Cash Flow %s Yr1'!M51*'Revenue Input'!$D44))</f>
        <v/>
      </c>
      <c r="N48" s="64" t="str">
        <f>IF('Revenue Input'!$D44="","",IF('Cash Flow %s Yr1'!N51="","",'Cash Flow %s Yr1'!N51*'Revenue Input'!$D44))</f>
        <v/>
      </c>
      <c r="O48" s="64" t="str">
        <f>IF('Revenue Input'!$D44="","",IF('Cash Flow %s Yr1'!O48="","0",'Cash Flow %s Yr1'!O48*'Revenue Input'!$D44))</f>
        <v/>
      </c>
      <c r="P48" s="64" t="str">
        <f>IF('Revenue Input'!$D44="","",IF('Cash Flow %s Yr1'!P48="","0",'Cash Flow %s Yr1'!P48*'Revenue Input'!$D44))</f>
        <v/>
      </c>
      <c r="Q48" s="64" t="str">
        <f>IF('Revenue Input'!$D44="","",IF('Cash Flow %s Yr1'!Q48="","0",'Cash Flow %s Yr1'!Q48*'Revenue Input'!$D44))</f>
        <v/>
      </c>
      <c r="R48" s="64" t="str">
        <f>IF('Revenue Input'!$D44="","",IF('Cash Flow %s Yr1'!R48="","0",'Cash Flow %s Yr1'!R48*'Revenue Input'!$D44))</f>
        <v/>
      </c>
      <c r="S48" s="111" t="str">
        <f>IF(SUM(D48:R48)&gt;0,SUM(D48:R48)/'Revenue Input'!$D44,"")</f>
        <v/>
      </c>
    </row>
    <row r="49" spans="1:19" s="31" customFormat="1" ht="18" x14ac:dyDescent="0.2">
      <c r="A49" s="47"/>
      <c r="B49" s="65" t="str">
        <f>'Revenue Input'!B45</f>
        <v>8999</v>
      </c>
      <c r="C49" s="65" t="str">
        <f>'Revenue Input'!C45</f>
        <v>Revenue Suspense</v>
      </c>
      <c r="D49" s="64" t="str">
        <f>IF('Revenue Input'!$D45="","",IF('Cash Flow %s Yr1'!D52="","",'Cash Flow %s Yr1'!D52*'Revenue Input'!$D45))</f>
        <v/>
      </c>
      <c r="E49" s="64" t="str">
        <f>IF('Revenue Input'!$D45="","",IF('Cash Flow %s Yr1'!E52="","",'Cash Flow %s Yr1'!E52*'Revenue Input'!$D45))</f>
        <v/>
      </c>
      <c r="F49" s="64" t="str">
        <f>IF('Revenue Input'!$D45="","",IF('Cash Flow %s Yr1'!F52="","",'Cash Flow %s Yr1'!F52*'Revenue Input'!$D45))</f>
        <v/>
      </c>
      <c r="G49" s="64" t="str">
        <f>IF('Revenue Input'!$D45="","",IF('Cash Flow %s Yr1'!G52="","",'Cash Flow %s Yr1'!G52*'Revenue Input'!$D45))</f>
        <v/>
      </c>
      <c r="H49" s="64" t="str">
        <f>IF('Revenue Input'!$D45="","",IF('Cash Flow %s Yr1'!H52="","",'Cash Flow %s Yr1'!H52*'Revenue Input'!$D45))</f>
        <v/>
      </c>
      <c r="I49" s="64" t="str">
        <f>IF('Revenue Input'!$D45="","",IF('Cash Flow %s Yr1'!I52="","",'Cash Flow %s Yr1'!I52*'Revenue Input'!$D45))</f>
        <v/>
      </c>
      <c r="J49" s="64" t="str">
        <f>IF('Revenue Input'!$D45="","",IF('Cash Flow %s Yr1'!J52="","",'Cash Flow %s Yr1'!J52*'Revenue Input'!$D45))</f>
        <v/>
      </c>
      <c r="K49" s="64" t="str">
        <f>IF('Revenue Input'!$D45="","",IF('Cash Flow %s Yr1'!K52="","",'Cash Flow %s Yr1'!K52*'Revenue Input'!$D45))</f>
        <v/>
      </c>
      <c r="L49" s="64" t="str">
        <f>IF('Revenue Input'!$D45="","",IF('Cash Flow %s Yr1'!L52="","",'Cash Flow %s Yr1'!L52*'Revenue Input'!$D45))</f>
        <v/>
      </c>
      <c r="M49" s="64" t="str">
        <f>IF('Revenue Input'!$D45="","",IF('Cash Flow %s Yr1'!M52="","",'Cash Flow %s Yr1'!M52*'Revenue Input'!$D45))</f>
        <v/>
      </c>
      <c r="N49" s="64" t="str">
        <f>IF('Revenue Input'!$D45="","",IF('Cash Flow %s Yr1'!N52="","",'Cash Flow %s Yr1'!N52*'Revenue Input'!$D45))</f>
        <v/>
      </c>
      <c r="O49" s="64" t="str">
        <f>IF('Revenue Input'!$D45="","",IF('Cash Flow %s Yr1'!O49="","0",'Cash Flow %s Yr1'!O49*'Revenue Input'!$D45))</f>
        <v/>
      </c>
      <c r="P49" s="64" t="str">
        <f>IF('Revenue Input'!$D45="","",IF('Cash Flow %s Yr1'!P49="","0",'Cash Flow %s Yr1'!P49*'Revenue Input'!$D45))</f>
        <v/>
      </c>
      <c r="Q49" s="64" t="str">
        <f>IF('Revenue Input'!$D45="","",IF('Cash Flow %s Yr1'!Q49="","0",'Cash Flow %s Yr1'!Q49*'Revenue Input'!$D45))</f>
        <v/>
      </c>
      <c r="R49" s="64" t="str">
        <f>IF('Revenue Input'!$D45="","",IF('Cash Flow %s Yr1'!R49="","0",'Cash Flow %s Yr1'!R49*'Revenue Input'!$D45))</f>
        <v/>
      </c>
      <c r="S49" s="111" t="str">
        <f>IF(SUM(D49:R49)&gt;0,SUM(D49:R49)/'Revenue Input'!$D45,"")</f>
        <v/>
      </c>
    </row>
    <row r="50" spans="1:19" s="31" customFormat="1" ht="18" x14ac:dyDescent="0.2">
      <c r="A50" s="47"/>
      <c r="B50" s="72"/>
      <c r="C50" s="34" t="s">
        <v>721</v>
      </c>
      <c r="D50" s="192">
        <f t="shared" ref="D50:R50" si="2">SUM(D37:D49)</f>
        <v>78.435000000000002</v>
      </c>
      <c r="E50" s="192">
        <f t="shared" si="2"/>
        <v>78.435000000000002</v>
      </c>
      <c r="F50" s="192">
        <f t="shared" si="2"/>
        <v>5090.2350000000006</v>
      </c>
      <c r="G50" s="192">
        <f t="shared" si="2"/>
        <v>5090.2350000000006</v>
      </c>
      <c r="H50" s="192">
        <f t="shared" si="2"/>
        <v>5091.9350000000004</v>
      </c>
      <c r="I50" s="192">
        <f t="shared" si="2"/>
        <v>5091.9350000000004</v>
      </c>
      <c r="J50" s="192">
        <f t="shared" si="2"/>
        <v>5091.9350000000004</v>
      </c>
      <c r="K50" s="192">
        <f t="shared" si="2"/>
        <v>5091.9350000000004</v>
      </c>
      <c r="L50" s="192">
        <f t="shared" si="2"/>
        <v>5092.88</v>
      </c>
      <c r="M50" s="192">
        <f t="shared" si="2"/>
        <v>5092.88</v>
      </c>
      <c r="N50" s="192">
        <f t="shared" si="2"/>
        <v>5092.88</v>
      </c>
      <c r="O50" s="192">
        <f t="shared" si="2"/>
        <v>5092.88</v>
      </c>
      <c r="P50" s="192">
        <f t="shared" si="2"/>
        <v>1.7000000000000002</v>
      </c>
      <c r="Q50" s="192">
        <f t="shared" si="2"/>
        <v>1.7000000000000002</v>
      </c>
      <c r="R50" s="192">
        <f t="shared" si="2"/>
        <v>0</v>
      </c>
      <c r="S50" s="107"/>
    </row>
    <row r="51" spans="1:19" s="31" customFormat="1" ht="18" x14ac:dyDescent="0.2">
      <c r="A51" s="47"/>
      <c r="B51" s="49" t="s">
        <v>677</v>
      </c>
      <c r="C51" s="50"/>
      <c r="D51" s="193">
        <f t="shared" ref="D51:R51" si="3">SUM(D50,D34,D23)</f>
        <v>39793.208486666663</v>
      </c>
      <c r="E51" s="193">
        <f t="shared" si="3"/>
        <v>59100.981973333328</v>
      </c>
      <c r="F51" s="193">
        <f t="shared" si="3"/>
        <v>102071.21076</v>
      </c>
      <c r="G51" s="193">
        <f t="shared" si="3"/>
        <v>64767.710760000002</v>
      </c>
      <c r="H51" s="193">
        <f t="shared" si="3"/>
        <v>74343.160759999999</v>
      </c>
      <c r="I51" s="193">
        <f t="shared" si="3"/>
        <v>157518.21575999999</v>
      </c>
      <c r="J51" s="193">
        <f t="shared" si="3"/>
        <v>65783.910759999999</v>
      </c>
      <c r="K51" s="193">
        <f t="shared" si="3"/>
        <v>103798.07257999999</v>
      </c>
      <c r="L51" s="193">
        <f t="shared" si="3"/>
        <v>117857.17129000001</v>
      </c>
      <c r="M51" s="193">
        <f t="shared" si="3"/>
        <v>70896.476290000006</v>
      </c>
      <c r="N51" s="193">
        <f t="shared" si="3"/>
        <v>75528.021290000004</v>
      </c>
      <c r="O51" s="193">
        <f t="shared" si="3"/>
        <v>104977.77129</v>
      </c>
      <c r="P51" s="193">
        <f t="shared" si="3"/>
        <v>4943.9049999999997</v>
      </c>
      <c r="Q51" s="193">
        <f t="shared" si="3"/>
        <v>9575.4500000000007</v>
      </c>
      <c r="R51" s="193">
        <f t="shared" si="3"/>
        <v>0</v>
      </c>
      <c r="S51" s="107"/>
    </row>
    <row r="52" spans="1:19" s="31" customFormat="1" ht="18" x14ac:dyDescent="0.2">
      <c r="A52" s="47"/>
      <c r="B52" s="72"/>
      <c r="C52" s="50"/>
      <c r="D52" s="127"/>
      <c r="E52" s="127"/>
      <c r="F52" s="127"/>
      <c r="G52" s="127"/>
      <c r="H52" s="127"/>
      <c r="I52" s="127"/>
      <c r="J52" s="127"/>
      <c r="K52" s="127"/>
      <c r="L52" s="127"/>
      <c r="M52" s="127"/>
      <c r="N52" s="127"/>
      <c r="O52" s="127"/>
      <c r="P52" s="127"/>
      <c r="Q52" s="127"/>
      <c r="R52" s="127"/>
    </row>
    <row r="53" spans="1:19" s="31" customFormat="1" ht="18" x14ac:dyDescent="0.2">
      <c r="A53" s="47" t="s">
        <v>802</v>
      </c>
      <c r="B53" s="73"/>
      <c r="C53" s="34"/>
      <c r="D53" s="128"/>
      <c r="E53" s="128"/>
      <c r="F53" s="128"/>
      <c r="G53" s="128"/>
      <c r="H53" s="128"/>
      <c r="I53" s="128"/>
      <c r="J53" s="128"/>
      <c r="K53" s="128"/>
      <c r="L53" s="128"/>
      <c r="M53" s="128"/>
      <c r="N53" s="128"/>
      <c r="O53" s="128"/>
      <c r="P53" s="128"/>
      <c r="Q53" s="128"/>
      <c r="R53" s="128"/>
    </row>
    <row r="54" spans="1:19" x14ac:dyDescent="0.2">
      <c r="A54" s="1"/>
      <c r="B54" s="34" t="s">
        <v>733</v>
      </c>
      <c r="C54" s="3"/>
      <c r="D54" s="107"/>
      <c r="E54" s="107"/>
      <c r="F54" s="107"/>
      <c r="G54" s="107"/>
      <c r="H54" s="107"/>
      <c r="I54" s="107"/>
      <c r="J54" s="107"/>
      <c r="K54" s="107"/>
      <c r="L54" s="107"/>
      <c r="M54" s="107"/>
      <c r="N54" s="107"/>
      <c r="O54" s="107"/>
      <c r="P54" s="107"/>
      <c r="Q54" s="107"/>
      <c r="R54" s="107"/>
    </row>
    <row r="55" spans="1:19" x14ac:dyDescent="0.2">
      <c r="A55" s="36"/>
      <c r="B55" s="67" t="str">
        <f>'Expenses Summary'!B8</f>
        <v>1100</v>
      </c>
      <c r="C55" s="67" t="str">
        <f>'Expenses Summary'!C8</f>
        <v>Teachers'  Salaries</v>
      </c>
      <c r="D55" s="64">
        <f>IF('Expenses Summary'!$D8="","",IF('Cash Flow %s Yr1'!D55="","",'Cash Flow %s Yr1'!D55*'Expenses Summary'!$D8))</f>
        <v>17552.259000000002</v>
      </c>
      <c r="E55" s="64">
        <f>IF('Expenses Summary'!$D8="","",IF('Cash Flow %s Yr1'!E55="","",'Cash Flow %s Yr1'!E55*'Expenses Summary'!$D8))</f>
        <v>17552.259000000002</v>
      </c>
      <c r="F55" s="64">
        <f>IF('Expenses Summary'!$D8="","",IF('Cash Flow %s Yr1'!F55="","",'Cash Flow %s Yr1'!F55*'Expenses Summary'!$D8))</f>
        <v>17552.259000000002</v>
      </c>
      <c r="G55" s="64">
        <f>IF('Expenses Summary'!$D8="","",IF('Cash Flow %s Yr1'!G55="","",'Cash Flow %s Yr1'!G55*'Expenses Summary'!$D8))</f>
        <v>17552.259000000002</v>
      </c>
      <c r="H55" s="64">
        <f>IF('Expenses Summary'!$D8="","",IF('Cash Flow %s Yr1'!H55="","",'Cash Flow %s Yr1'!H55*'Expenses Summary'!$D8))</f>
        <v>17552.259000000002</v>
      </c>
      <c r="I55" s="64">
        <f>IF('Expenses Summary'!$D8="","",IF('Cash Flow %s Yr1'!I55="","",'Cash Flow %s Yr1'!I55*'Expenses Summary'!$D8))</f>
        <v>17552.259000000002</v>
      </c>
      <c r="J55" s="64">
        <f>IF('Expenses Summary'!$D8="","",IF('Cash Flow %s Yr1'!J55="","",'Cash Flow %s Yr1'!J55*'Expenses Summary'!$D8))</f>
        <v>17552.259000000002</v>
      </c>
      <c r="K55" s="64">
        <f>IF('Expenses Summary'!$D8="","",IF('Cash Flow %s Yr1'!K55="","",'Cash Flow %s Yr1'!K55*'Expenses Summary'!$D8))</f>
        <v>17552.259000000002</v>
      </c>
      <c r="L55" s="64">
        <f>IF('Expenses Summary'!$D8="","",IF('Cash Flow %s Yr1'!L55="","",'Cash Flow %s Yr1'!L55*'Expenses Summary'!$D8))</f>
        <v>17763.732</v>
      </c>
      <c r="M55" s="64">
        <f>IF('Expenses Summary'!$D8="","",IF('Cash Flow %s Yr1'!M55="","",'Cash Flow %s Yr1'!M55*'Expenses Summary'!$D8))</f>
        <v>17763.732</v>
      </c>
      <c r="N55" s="64">
        <f>IF('Expenses Summary'!$D8="","",IF('Cash Flow %s Yr1'!N55="","",'Cash Flow %s Yr1'!N55*'Expenses Summary'!$D8))</f>
        <v>17763.732</v>
      </c>
      <c r="O55" s="64">
        <f>IF('Expenses Summary'!$D8="","",IF('Cash Flow %s Yr1'!O55="","",'Cash Flow %s Yr1'!O55*'Expenses Summary'!$D8))</f>
        <v>17763.732</v>
      </c>
      <c r="P55" s="64" t="str">
        <f>IF('Expenses Summary'!$D8="","",IF('Cash Flow %s Yr1'!P55="","",'Cash Flow %s Yr1'!P55*'Expenses Summary'!$D8))</f>
        <v/>
      </c>
      <c r="Q55" s="129"/>
      <c r="R55" s="129"/>
      <c r="S55" s="111">
        <f>IF(SUM(D55:R55)&gt;0,SUM(D55:R55)/'Expenses Summary'!$D8,"")</f>
        <v>0.99999999999999989</v>
      </c>
    </row>
    <row r="56" spans="1:19" x14ac:dyDescent="0.2">
      <c r="A56" s="36"/>
      <c r="B56" s="67" t="str">
        <f>'Expenses Summary'!B9</f>
        <v>1105</v>
      </c>
      <c r="C56" s="67" t="str">
        <f>'Expenses Summary'!C9</f>
        <v>Teachers'  Bonuses</v>
      </c>
      <c r="D56" s="64" t="str">
        <f>IF('Expenses Summary'!$D9="","",IF('Cash Flow %s Yr1'!D56="","",'Cash Flow %s Yr1'!D56*'Expenses Summary'!$D9))</f>
        <v/>
      </c>
      <c r="E56" s="64" t="str">
        <f>IF('Expenses Summary'!$D9="","",IF('Cash Flow %s Yr1'!E56="","",'Cash Flow %s Yr1'!E56*'Expenses Summary'!$D9))</f>
        <v/>
      </c>
      <c r="F56" s="64" t="str">
        <f>IF('Expenses Summary'!$D9="","",IF('Cash Flow %s Yr1'!F56="","",'Cash Flow %s Yr1'!F56*'Expenses Summary'!$D9))</f>
        <v/>
      </c>
      <c r="G56" s="64" t="str">
        <f>IF('Expenses Summary'!$D9="","",IF('Cash Flow %s Yr1'!G56="","",'Cash Flow %s Yr1'!G56*'Expenses Summary'!$D9))</f>
        <v/>
      </c>
      <c r="H56" s="64" t="str">
        <f>IF('Expenses Summary'!$D9="","",IF('Cash Flow %s Yr1'!H56="","",'Cash Flow %s Yr1'!H56*'Expenses Summary'!$D9))</f>
        <v/>
      </c>
      <c r="I56" s="64">
        <f>IF('Expenses Summary'!$D9="","",IF('Cash Flow %s Yr1'!I56="","",'Cash Flow %s Yr1'!I56*'Expenses Summary'!$D9))</f>
        <v>1500</v>
      </c>
      <c r="J56" s="64" t="str">
        <f>IF('Expenses Summary'!$D9="","",IF('Cash Flow %s Yr1'!J56="","",'Cash Flow %s Yr1'!J56*'Expenses Summary'!$D9))</f>
        <v/>
      </c>
      <c r="K56" s="64" t="str">
        <f>IF('Expenses Summary'!$D9="","",IF('Cash Flow %s Yr1'!K56="","",'Cash Flow %s Yr1'!K56*'Expenses Summary'!$D9))</f>
        <v/>
      </c>
      <c r="L56" s="64" t="str">
        <f>IF('Expenses Summary'!$D9="","",IF('Cash Flow %s Yr1'!L56="","",'Cash Flow %s Yr1'!L56*'Expenses Summary'!$D9))</f>
        <v/>
      </c>
      <c r="M56" s="64" t="str">
        <f>IF('Expenses Summary'!$D9="","",IF('Cash Flow %s Yr1'!M56="","",'Cash Flow %s Yr1'!M56*'Expenses Summary'!$D9))</f>
        <v/>
      </c>
      <c r="N56" s="64" t="str">
        <f>IF('Expenses Summary'!$D9="","",IF('Cash Flow %s Yr1'!N56="","",'Cash Flow %s Yr1'!N56*'Expenses Summary'!$D9))</f>
        <v/>
      </c>
      <c r="O56" s="64" t="str">
        <f>IF('Expenses Summary'!$D9="","",IF('Cash Flow %s Yr1'!O56="","",'Cash Flow %s Yr1'!O56*'Expenses Summary'!$D9))</f>
        <v/>
      </c>
      <c r="P56" s="129"/>
      <c r="Q56" s="129"/>
      <c r="R56" s="129"/>
      <c r="S56" s="111">
        <f>IF(SUM(D56:R56)&gt;0,SUM(D56:R56)/'Expenses Summary'!$D9,"")</f>
        <v>1</v>
      </c>
    </row>
    <row r="57" spans="1:19" x14ac:dyDescent="0.2">
      <c r="A57" s="36"/>
      <c r="B57" s="67" t="str">
        <f>'Expenses Summary'!B10</f>
        <v>1120</v>
      </c>
      <c r="C57" s="67" t="str">
        <f>'Expenses Summary'!C10</f>
        <v>Substitute Expense</v>
      </c>
      <c r="D57" s="64">
        <f>IF('Expenses Summary'!$D10="","",IF('Cash Flow %s Yr1'!D57="","",'Cash Flow %s Yr1'!D57*'Expenses Summary'!$D10))</f>
        <v>0</v>
      </c>
      <c r="E57" s="64">
        <f>IF('Expenses Summary'!$D10="","",IF('Cash Flow %s Yr1'!E57="","",'Cash Flow %s Yr1'!E57*'Expenses Summary'!$D10))</f>
        <v>0</v>
      </c>
      <c r="F57" s="64">
        <f>IF('Expenses Summary'!$D10="","",IF('Cash Flow %s Yr1'!F57="","",'Cash Flow %s Yr1'!F57*'Expenses Summary'!$D10))</f>
        <v>148</v>
      </c>
      <c r="G57" s="64">
        <f>IF('Expenses Summary'!$D10="","",IF('Cash Flow %s Yr1'!G57="","",'Cash Flow %s Yr1'!G57*'Expenses Summary'!$D10))</f>
        <v>148</v>
      </c>
      <c r="H57" s="64">
        <f>IF('Expenses Summary'!$D10="","",IF('Cash Flow %s Yr1'!H57="","",'Cash Flow %s Yr1'!H57*'Expenses Summary'!$D10))</f>
        <v>148</v>
      </c>
      <c r="I57" s="64">
        <f>IF('Expenses Summary'!$D10="","",IF('Cash Flow %s Yr1'!I57="","",'Cash Flow %s Yr1'!I57*'Expenses Summary'!$D10))</f>
        <v>148</v>
      </c>
      <c r="J57" s="64">
        <f>IF('Expenses Summary'!$D10="","",IF('Cash Flow %s Yr1'!J57="","",'Cash Flow %s Yr1'!J57*'Expenses Summary'!$D10))</f>
        <v>148</v>
      </c>
      <c r="K57" s="64">
        <f>IF('Expenses Summary'!$D10="","",IF('Cash Flow %s Yr1'!K57="","",'Cash Flow %s Yr1'!K57*'Expenses Summary'!$D10))</f>
        <v>148</v>
      </c>
      <c r="L57" s="64">
        <f>IF('Expenses Summary'!$D10="","",IF('Cash Flow %s Yr1'!L57="","",'Cash Flow %s Yr1'!L57*'Expenses Summary'!$D10))</f>
        <v>148</v>
      </c>
      <c r="M57" s="64">
        <f>IF('Expenses Summary'!$D10="","",IF('Cash Flow %s Yr1'!M57="","",'Cash Flow %s Yr1'!M57*'Expenses Summary'!$D10))</f>
        <v>148</v>
      </c>
      <c r="N57" s="64">
        <f>IF('Expenses Summary'!$D10="","",IF('Cash Flow %s Yr1'!N57="","",'Cash Flow %s Yr1'!N57*'Expenses Summary'!$D10))</f>
        <v>148</v>
      </c>
      <c r="O57" s="64">
        <f>IF('Expenses Summary'!$D10="","",IF('Cash Flow %s Yr1'!O57="","",'Cash Flow %s Yr1'!O57*'Expenses Summary'!$D10))</f>
        <v>148</v>
      </c>
      <c r="P57" s="129"/>
      <c r="Q57" s="129"/>
      <c r="R57" s="129"/>
      <c r="S57" s="111">
        <f>IF(SUM(D57:R57)&gt;0,SUM(D57:R57)/'Expenses Summary'!$D10,"")</f>
        <v>1</v>
      </c>
    </row>
    <row r="58" spans="1:19" x14ac:dyDescent="0.2">
      <c r="A58" s="36"/>
      <c r="B58" s="67" t="str">
        <f>'Expenses Summary'!B11</f>
        <v>1200</v>
      </c>
      <c r="C58" s="67" t="str">
        <f>'Expenses Summary'!C11</f>
        <v>Certificated Pupil Support Salaries</v>
      </c>
      <c r="D58" s="64">
        <f>IF('Expenses Summary'!$D11="","",IF('Cash Flow %s Yr1'!D58="","",'Cash Flow %s Yr1'!D58*'Expenses Summary'!$D11))</f>
        <v>0</v>
      </c>
      <c r="E58" s="64">
        <f>IF('Expenses Summary'!$D11="","",IF('Cash Flow %s Yr1'!E58="","",'Cash Flow %s Yr1'!E58*'Expenses Summary'!$D11))</f>
        <v>0</v>
      </c>
      <c r="F58" s="64">
        <f>IF('Expenses Summary'!$D11="","",IF('Cash Flow %s Yr1'!F58="","",'Cash Flow %s Yr1'!F58*'Expenses Summary'!$D11))</f>
        <v>0</v>
      </c>
      <c r="G58" s="64">
        <f>IF('Expenses Summary'!$D11="","",IF('Cash Flow %s Yr1'!G58="","",'Cash Flow %s Yr1'!G58*'Expenses Summary'!$D11))</f>
        <v>0</v>
      </c>
      <c r="H58" s="64">
        <f>IF('Expenses Summary'!$D11="","",IF('Cash Flow %s Yr1'!H58="","",'Cash Flow %s Yr1'!H58*'Expenses Summary'!$D11))</f>
        <v>0</v>
      </c>
      <c r="I58" s="64">
        <f>IF('Expenses Summary'!$D11="","",IF('Cash Flow %s Yr1'!I58="","",'Cash Flow %s Yr1'!I58*'Expenses Summary'!$D11))</f>
        <v>0</v>
      </c>
      <c r="J58" s="64">
        <f>IF('Expenses Summary'!$D11="","",IF('Cash Flow %s Yr1'!J58="","",'Cash Flow %s Yr1'!J58*'Expenses Summary'!$D11))</f>
        <v>0</v>
      </c>
      <c r="K58" s="64">
        <f>IF('Expenses Summary'!$D11="","",IF('Cash Flow %s Yr1'!K58="","",'Cash Flow %s Yr1'!K58*'Expenses Summary'!$D11))</f>
        <v>0</v>
      </c>
      <c r="L58" s="64">
        <f>IF('Expenses Summary'!$D11="","",IF('Cash Flow %s Yr1'!L58="","",'Cash Flow %s Yr1'!L58*'Expenses Summary'!$D11))</f>
        <v>0</v>
      </c>
      <c r="M58" s="64">
        <f>IF('Expenses Summary'!$D11="","",IF('Cash Flow %s Yr1'!M58="","",'Cash Flow %s Yr1'!M58*'Expenses Summary'!$D11))</f>
        <v>0</v>
      </c>
      <c r="N58" s="64">
        <f>IF('Expenses Summary'!$D11="","",IF('Cash Flow %s Yr1'!N58="","",'Cash Flow %s Yr1'!N58*'Expenses Summary'!$D11))</f>
        <v>0</v>
      </c>
      <c r="O58" s="64">
        <f>IF('Expenses Summary'!$D11="","",IF('Cash Flow %s Yr1'!O58="","",'Cash Flow %s Yr1'!O58*'Expenses Summary'!$D11))</f>
        <v>0</v>
      </c>
      <c r="P58" s="129"/>
      <c r="Q58" s="129"/>
      <c r="R58" s="129"/>
      <c r="S58" s="111" t="str">
        <f>IF(SUM(D58:R58)&gt;0,SUM(D58:R58)/'Expenses Summary'!$D11,"")</f>
        <v/>
      </c>
    </row>
    <row r="59" spans="1:19" x14ac:dyDescent="0.2">
      <c r="A59" s="36"/>
      <c r="B59" s="67" t="str">
        <f>'Expenses Summary'!B13</f>
        <v>1300</v>
      </c>
      <c r="C59" s="67" t="str">
        <f>'Expenses Summary'!C13</f>
        <v>Certificated Supervisor and Administrator Salaries</v>
      </c>
      <c r="D59" s="64">
        <f>IF('Expenses Summary'!$D13="","",IF('Cash Flow %s Yr1'!D59="","",'Cash Flow %s Yr1'!D59*'Expenses Summary'!$D13))</f>
        <v>5021.8320000000003</v>
      </c>
      <c r="E59" s="64">
        <f>IF('Expenses Summary'!$D13="","",IF('Cash Flow %s Yr1'!E59="","",'Cash Flow %s Yr1'!E59*'Expenses Summary'!$D13))</f>
        <v>5021.8320000000003</v>
      </c>
      <c r="F59" s="64">
        <f>IF('Expenses Summary'!$D13="","",IF('Cash Flow %s Yr1'!F59="","",'Cash Flow %s Yr1'!F59*'Expenses Summary'!$D13))</f>
        <v>5021.8320000000003</v>
      </c>
      <c r="G59" s="64">
        <f>IF('Expenses Summary'!$D13="","",IF('Cash Flow %s Yr1'!G59="","",'Cash Flow %s Yr1'!G59*'Expenses Summary'!$D13))</f>
        <v>5021.8320000000003</v>
      </c>
      <c r="H59" s="64">
        <f>IF('Expenses Summary'!$D13="","",IF('Cash Flow %s Yr1'!H59="","",'Cash Flow %s Yr1'!H59*'Expenses Summary'!$D13))</f>
        <v>5021.8320000000003</v>
      </c>
      <c r="I59" s="64">
        <f>IF('Expenses Summary'!$D13="","",IF('Cash Flow %s Yr1'!I59="","",'Cash Flow %s Yr1'!I59*'Expenses Summary'!$D13))</f>
        <v>5021.8320000000003</v>
      </c>
      <c r="J59" s="64">
        <f>IF('Expenses Summary'!$D13="","",IF('Cash Flow %s Yr1'!J59="","",'Cash Flow %s Yr1'!J59*'Expenses Summary'!$D13))</f>
        <v>5021.8320000000003</v>
      </c>
      <c r="K59" s="64">
        <f>IF('Expenses Summary'!$D13="","",IF('Cash Flow %s Yr1'!K59="","",'Cash Flow %s Yr1'!K59*'Expenses Summary'!$D13))</f>
        <v>5021.8320000000003</v>
      </c>
      <c r="L59" s="64">
        <f>IF('Expenses Summary'!$D13="","",IF('Cash Flow %s Yr1'!L59="","",'Cash Flow %s Yr1'!L59*'Expenses Summary'!$D13))</f>
        <v>5082.3360000000002</v>
      </c>
      <c r="M59" s="64">
        <f>IF('Expenses Summary'!$D13="","",IF('Cash Flow %s Yr1'!M59="","",'Cash Flow %s Yr1'!M59*'Expenses Summary'!$D13))</f>
        <v>5082.3360000000002</v>
      </c>
      <c r="N59" s="64">
        <f>IF('Expenses Summary'!$D13="","",IF('Cash Flow %s Yr1'!N59="","",'Cash Flow %s Yr1'!N59*'Expenses Summary'!$D13))</f>
        <v>5082.3360000000002</v>
      </c>
      <c r="O59" s="64">
        <f>IF('Expenses Summary'!$D13="","",IF('Cash Flow %s Yr1'!O59="","",'Cash Flow %s Yr1'!O59*'Expenses Summary'!$D13))</f>
        <v>5082.3360000000002</v>
      </c>
      <c r="P59" s="129"/>
      <c r="Q59" s="129"/>
      <c r="R59" s="129"/>
      <c r="S59" s="111">
        <f>IF(SUM(D59:R59)&gt;0,SUM(D59:R59)/'Expenses Summary'!$D13,"")</f>
        <v>1.0000000000000004</v>
      </c>
    </row>
    <row r="60" spans="1:19" x14ac:dyDescent="0.2">
      <c r="A60" s="36"/>
      <c r="B60" s="67" t="str">
        <f>'Expenses Summary'!B14</f>
        <v>1305</v>
      </c>
      <c r="C60" s="67" t="str">
        <f>'Expenses Summary'!C14</f>
        <v>Certificated Supervisor and Administrator Bonuses</v>
      </c>
      <c r="D60" s="64" t="str">
        <f>IF('Expenses Summary'!$D14="","",IF('Cash Flow %s Yr1'!D60="","",'Cash Flow %s Yr1'!D60*'Expenses Summary'!$D14))</f>
        <v/>
      </c>
      <c r="E60" s="64" t="str">
        <f>IF('Expenses Summary'!$D14="","",IF('Cash Flow %s Yr1'!E60="","",'Cash Flow %s Yr1'!E60*'Expenses Summary'!$D14))</f>
        <v/>
      </c>
      <c r="F60" s="64" t="str">
        <f>IF('Expenses Summary'!$D14="","",IF('Cash Flow %s Yr1'!F60="","",'Cash Flow %s Yr1'!F60*'Expenses Summary'!$D14))</f>
        <v/>
      </c>
      <c r="G60" s="64" t="str">
        <f>IF('Expenses Summary'!$D14="","",IF('Cash Flow %s Yr1'!G60="","",'Cash Flow %s Yr1'!G60*'Expenses Summary'!$D14))</f>
        <v/>
      </c>
      <c r="H60" s="64" t="str">
        <f>IF('Expenses Summary'!$D14="","",IF('Cash Flow %s Yr1'!H60="","",'Cash Flow %s Yr1'!H60*'Expenses Summary'!$D14))</f>
        <v/>
      </c>
      <c r="I60" s="64">
        <f>IF('Expenses Summary'!$D14="","",IF('Cash Flow %s Yr1'!I60="","",'Cash Flow %s Yr1'!I60*'Expenses Summary'!$D14))</f>
        <v>0</v>
      </c>
      <c r="J60" s="64" t="str">
        <f>IF('Expenses Summary'!$D14="","",IF('Cash Flow %s Yr1'!J60="","",'Cash Flow %s Yr1'!J60*'Expenses Summary'!$D14))</f>
        <v/>
      </c>
      <c r="K60" s="64" t="str">
        <f>IF('Expenses Summary'!$D14="","",IF('Cash Flow %s Yr1'!K60="","",'Cash Flow %s Yr1'!K60*'Expenses Summary'!$D14))</f>
        <v/>
      </c>
      <c r="L60" s="64" t="str">
        <f>IF('Expenses Summary'!$D14="","",IF('Cash Flow %s Yr1'!L60="","",'Cash Flow %s Yr1'!L60*'Expenses Summary'!$D14))</f>
        <v/>
      </c>
      <c r="M60" s="64" t="str">
        <f>IF('Expenses Summary'!$D14="","",IF('Cash Flow %s Yr1'!M60="","",'Cash Flow %s Yr1'!M60*'Expenses Summary'!$D14))</f>
        <v/>
      </c>
      <c r="N60" s="64" t="str">
        <f>IF('Expenses Summary'!$D14="","",IF('Cash Flow %s Yr1'!N60="","",'Cash Flow %s Yr1'!N60*'Expenses Summary'!$D14))</f>
        <v/>
      </c>
      <c r="O60" s="64" t="str">
        <f>IF('Expenses Summary'!$D14="","",IF('Cash Flow %s Yr1'!O60="","",'Cash Flow %s Yr1'!O60*'Expenses Summary'!$D14))</f>
        <v/>
      </c>
      <c r="P60" s="129"/>
      <c r="Q60" s="129"/>
      <c r="R60" s="129"/>
      <c r="S60" s="111" t="str">
        <f>IF(SUM(D60:R60)&gt;0,SUM(D60:R60)/'Expenses Summary'!$D14,"")</f>
        <v/>
      </c>
    </row>
    <row r="61" spans="1:19" x14ac:dyDescent="0.2">
      <c r="A61" s="36"/>
      <c r="B61" s="67" t="str">
        <f>'Expenses Summary'!B15</f>
        <v>1900</v>
      </c>
      <c r="C61" s="67" t="str">
        <f>'Expenses Summary'!C15</f>
        <v>Other Certificated Salaries</v>
      </c>
      <c r="D61" s="64">
        <f>IF('Expenses Summary'!$D15="","",IF('Cash Flow %s Yr1'!D61="","",'Cash Flow %s Yr1'!D61*'Expenses Summary'!$D15))</f>
        <v>0</v>
      </c>
      <c r="E61" s="64">
        <f>IF('Expenses Summary'!$D15="","",IF('Cash Flow %s Yr1'!E61="","",'Cash Flow %s Yr1'!E61*'Expenses Summary'!$D15))</f>
        <v>0</v>
      </c>
      <c r="F61" s="64">
        <f>IF('Expenses Summary'!$D15="","",IF('Cash Flow %s Yr1'!F61="","",'Cash Flow %s Yr1'!F61*'Expenses Summary'!$D15))</f>
        <v>0</v>
      </c>
      <c r="G61" s="64">
        <f>IF('Expenses Summary'!$D15="","",IF('Cash Flow %s Yr1'!G61="","",'Cash Flow %s Yr1'!G61*'Expenses Summary'!$D15))</f>
        <v>0</v>
      </c>
      <c r="H61" s="64">
        <f>IF('Expenses Summary'!$D15="","",IF('Cash Flow %s Yr1'!H61="","",'Cash Flow %s Yr1'!H61*'Expenses Summary'!$D15))</f>
        <v>0</v>
      </c>
      <c r="I61" s="64">
        <f>IF('Expenses Summary'!$D15="","",IF('Cash Flow %s Yr1'!I61="","",'Cash Flow %s Yr1'!I61*'Expenses Summary'!$D15))</f>
        <v>0</v>
      </c>
      <c r="J61" s="64">
        <f>IF('Expenses Summary'!$D15="","",IF('Cash Flow %s Yr1'!J61="","",'Cash Flow %s Yr1'!J61*'Expenses Summary'!$D15))</f>
        <v>0</v>
      </c>
      <c r="K61" s="64">
        <f>IF('Expenses Summary'!$D15="","",IF('Cash Flow %s Yr1'!K61="","",'Cash Flow %s Yr1'!K61*'Expenses Summary'!$D15))</f>
        <v>0</v>
      </c>
      <c r="L61" s="64">
        <f>IF('Expenses Summary'!$D15="","",IF('Cash Flow %s Yr1'!L61="","",'Cash Flow %s Yr1'!L61*'Expenses Summary'!$D15))</f>
        <v>0</v>
      </c>
      <c r="M61" s="64">
        <f>IF('Expenses Summary'!$D15="","",IF('Cash Flow %s Yr1'!M61="","",'Cash Flow %s Yr1'!M61*'Expenses Summary'!$D15))</f>
        <v>0</v>
      </c>
      <c r="N61" s="64">
        <f>IF('Expenses Summary'!$D15="","",IF('Cash Flow %s Yr1'!N61="","",'Cash Flow %s Yr1'!N61*'Expenses Summary'!$D15))</f>
        <v>0</v>
      </c>
      <c r="O61" s="64">
        <f>IF('Expenses Summary'!$D15="","",IF('Cash Flow %s Yr1'!O61="","",'Cash Flow %s Yr1'!O61*'Expenses Summary'!$D15))</f>
        <v>0</v>
      </c>
      <c r="P61" s="129"/>
      <c r="Q61" s="129"/>
      <c r="R61" s="129"/>
      <c r="S61" s="111" t="str">
        <f>IF(SUM(D61:R61)&gt;0,SUM(D61:R61)/'Expenses Summary'!$D15,"")</f>
        <v/>
      </c>
    </row>
    <row r="62" spans="1:19" x14ac:dyDescent="0.2">
      <c r="A62" s="36"/>
      <c r="B62" s="67" t="str">
        <f>'Expenses Summary'!B16</f>
        <v>1910</v>
      </c>
      <c r="C62" s="67" t="str">
        <f>'Expenses Summary'!C16</f>
        <v>Other Certificated Overtime</v>
      </c>
      <c r="D62" s="64">
        <f>IF('Expenses Summary'!$D16="","",IF('Cash Flow %s Yr1'!D62="","",'Cash Flow %s Yr1'!D62*'Expenses Summary'!$D16))</f>
        <v>0</v>
      </c>
      <c r="E62" s="64">
        <f>IF('Expenses Summary'!$D16="","",IF('Cash Flow %s Yr1'!E62="","",'Cash Flow %s Yr1'!E62*'Expenses Summary'!$D16))</f>
        <v>0</v>
      </c>
      <c r="F62" s="64">
        <f>IF('Expenses Summary'!$D16="","",IF('Cash Flow %s Yr1'!F62="","",'Cash Flow %s Yr1'!F62*'Expenses Summary'!$D16))</f>
        <v>0</v>
      </c>
      <c r="G62" s="64">
        <f>IF('Expenses Summary'!$D16="","",IF('Cash Flow %s Yr1'!G62="","",'Cash Flow %s Yr1'!G62*'Expenses Summary'!$D16))</f>
        <v>0</v>
      </c>
      <c r="H62" s="64">
        <f>IF('Expenses Summary'!$D16="","",IF('Cash Flow %s Yr1'!H62="","",'Cash Flow %s Yr1'!H62*'Expenses Summary'!$D16))</f>
        <v>0</v>
      </c>
      <c r="I62" s="64">
        <f>IF('Expenses Summary'!$D16="","",IF('Cash Flow %s Yr1'!I62="","",'Cash Flow %s Yr1'!I62*'Expenses Summary'!$D16))</f>
        <v>0</v>
      </c>
      <c r="J62" s="64">
        <f>IF('Expenses Summary'!$D16="","",IF('Cash Flow %s Yr1'!J62="","",'Cash Flow %s Yr1'!J62*'Expenses Summary'!$D16))</f>
        <v>0</v>
      </c>
      <c r="K62" s="64">
        <f>IF('Expenses Summary'!$D16="","",IF('Cash Flow %s Yr1'!K62="","",'Cash Flow %s Yr1'!K62*'Expenses Summary'!$D16))</f>
        <v>0</v>
      </c>
      <c r="L62" s="64">
        <f>IF('Expenses Summary'!$D16="","",IF('Cash Flow %s Yr1'!L62="","",'Cash Flow %s Yr1'!L62*'Expenses Summary'!$D16))</f>
        <v>0</v>
      </c>
      <c r="M62" s="64">
        <f>IF('Expenses Summary'!$D16="","",IF('Cash Flow %s Yr1'!M62="","",'Cash Flow %s Yr1'!M62*'Expenses Summary'!$D16))</f>
        <v>0</v>
      </c>
      <c r="N62" s="64">
        <f>IF('Expenses Summary'!$D16="","",IF('Cash Flow %s Yr1'!N62="","",'Cash Flow %s Yr1'!N62*'Expenses Summary'!$D16))</f>
        <v>0</v>
      </c>
      <c r="O62" s="64">
        <f>IF('Expenses Summary'!$D16="","",IF('Cash Flow %s Yr1'!O62="","",'Cash Flow %s Yr1'!O62*'Expenses Summary'!$D16))</f>
        <v>0</v>
      </c>
      <c r="P62" s="129"/>
      <c r="Q62" s="129"/>
      <c r="R62" s="129"/>
      <c r="S62" s="111" t="str">
        <f>IF(SUM(D62:R62)&gt;0,SUM(D62:R62)/'Expenses Summary'!$D16,"")</f>
        <v/>
      </c>
    </row>
    <row r="63" spans="1:19" x14ac:dyDescent="0.2">
      <c r="A63" s="36"/>
      <c r="B63" s="36" t="s">
        <v>555</v>
      </c>
      <c r="C63" s="34" t="s">
        <v>721</v>
      </c>
      <c r="D63" s="172">
        <f t="shared" ref="D63:I63" si="4">IF(SUM(D54:D62)&gt;0,SUM(D54:D62),"")</f>
        <v>22574.091</v>
      </c>
      <c r="E63" s="172">
        <f t="shared" si="4"/>
        <v>22574.091</v>
      </c>
      <c r="F63" s="172">
        <f t="shared" si="4"/>
        <v>22722.091</v>
      </c>
      <c r="G63" s="172">
        <f t="shared" si="4"/>
        <v>22722.091</v>
      </c>
      <c r="H63" s="172">
        <f t="shared" si="4"/>
        <v>22722.091</v>
      </c>
      <c r="I63" s="172">
        <f t="shared" si="4"/>
        <v>24222.091</v>
      </c>
      <c r="J63" s="172">
        <f t="shared" ref="J63:P63" si="5">IF(SUM(J54:J62)&gt;0,SUM(J54:J62),"")</f>
        <v>22722.091</v>
      </c>
      <c r="K63" s="172">
        <f t="shared" si="5"/>
        <v>22722.091</v>
      </c>
      <c r="L63" s="172">
        <f t="shared" si="5"/>
        <v>22994.067999999999</v>
      </c>
      <c r="M63" s="172">
        <f t="shared" si="5"/>
        <v>22994.067999999999</v>
      </c>
      <c r="N63" s="172">
        <f t="shared" si="5"/>
        <v>22994.067999999999</v>
      </c>
      <c r="O63" s="172">
        <f t="shared" si="5"/>
        <v>22994.067999999999</v>
      </c>
      <c r="P63" s="172" t="str">
        <f t="shared" si="5"/>
        <v/>
      </c>
      <c r="Q63" s="127"/>
      <c r="R63" s="127"/>
      <c r="S63" s="107"/>
    </row>
    <row r="64" spans="1:19" s="31" customFormat="1" x14ac:dyDescent="0.2">
      <c r="A64" s="36"/>
      <c r="B64" s="40"/>
      <c r="C64" s="3"/>
      <c r="D64" s="130"/>
      <c r="E64" s="130"/>
      <c r="F64" s="130"/>
      <c r="G64" s="130"/>
      <c r="H64" s="130"/>
      <c r="I64" s="130"/>
      <c r="J64" s="130"/>
      <c r="K64" s="130"/>
      <c r="L64" s="130"/>
      <c r="M64" s="130"/>
      <c r="N64" s="130"/>
      <c r="O64" s="130"/>
      <c r="P64" s="130"/>
      <c r="Q64" s="130"/>
      <c r="R64" s="130"/>
    </row>
    <row r="65" spans="1:19" s="31" customFormat="1" x14ac:dyDescent="0.2">
      <c r="B65" s="5" t="s">
        <v>734</v>
      </c>
      <c r="C65" s="3"/>
      <c r="D65" s="130"/>
      <c r="E65" s="130"/>
      <c r="F65" s="130"/>
      <c r="G65" s="130"/>
      <c r="H65" s="130"/>
      <c r="I65" s="130"/>
      <c r="J65" s="130"/>
      <c r="K65" s="130"/>
      <c r="L65" s="130"/>
      <c r="M65" s="130"/>
      <c r="N65" s="130"/>
      <c r="O65" s="130"/>
      <c r="P65" s="130"/>
      <c r="Q65" s="130"/>
      <c r="R65" s="130"/>
    </row>
    <row r="66" spans="1:19" s="31" customFormat="1" x14ac:dyDescent="0.2">
      <c r="A66" s="36"/>
      <c r="B66" s="67" t="str">
        <f>'Expenses Summary'!B20</f>
        <v>2100</v>
      </c>
      <c r="C66" s="67" t="str">
        <f>'Expenses Summary'!C20</f>
        <v>Instructional Aide Salaries</v>
      </c>
      <c r="D66" s="64">
        <f>IF('Expenses Summary'!$D20="","",IF('Cash Flow %s Yr1'!D66="","",'Cash Flow %s Yr1'!D66*'Expenses Summary'!$D20))</f>
        <v>0</v>
      </c>
      <c r="E66" s="64">
        <f>IF('Expenses Summary'!$D20="","",IF('Cash Flow %s Yr1'!E66="","",'Cash Flow %s Yr1'!E66*'Expenses Summary'!$D20))</f>
        <v>0</v>
      </c>
      <c r="F66" s="64">
        <f>IF('Expenses Summary'!$D20="","",IF('Cash Flow %s Yr1'!F66="","",'Cash Flow %s Yr1'!F66*'Expenses Summary'!$D20))</f>
        <v>5491.5</v>
      </c>
      <c r="G66" s="64">
        <f>IF('Expenses Summary'!$D20="","",IF('Cash Flow %s Yr1'!G66="","",'Cash Flow %s Yr1'!G66*'Expenses Summary'!$D20))</f>
        <v>5491.5</v>
      </c>
      <c r="H66" s="64">
        <f>IF('Expenses Summary'!$D20="","",IF('Cash Flow %s Yr1'!H66="","",'Cash Flow %s Yr1'!H66*'Expenses Summary'!$D20))</f>
        <v>5491.5</v>
      </c>
      <c r="I66" s="64">
        <f>IF('Expenses Summary'!$D20="","",IF('Cash Flow %s Yr1'!I66="","",'Cash Flow %s Yr1'!I66*'Expenses Summary'!$D20))</f>
        <v>5491.5</v>
      </c>
      <c r="J66" s="64">
        <f>IF('Expenses Summary'!$D20="","",IF('Cash Flow %s Yr1'!J66="","",'Cash Flow %s Yr1'!J66*'Expenses Summary'!$D20))</f>
        <v>5491.5</v>
      </c>
      <c r="K66" s="64">
        <f>IF('Expenses Summary'!$D20="","",IF('Cash Flow %s Yr1'!K66="","",'Cash Flow %s Yr1'!K66*'Expenses Summary'!$D20))</f>
        <v>5491.5</v>
      </c>
      <c r="L66" s="64">
        <f>IF('Expenses Summary'!$D20="","",IF('Cash Flow %s Yr1'!L66="","",'Cash Flow %s Yr1'!L66*'Expenses Summary'!$D20))</f>
        <v>5491.5</v>
      </c>
      <c r="M66" s="64">
        <f>IF('Expenses Summary'!$D20="","",IF('Cash Flow %s Yr1'!M66="","",'Cash Flow %s Yr1'!M66*'Expenses Summary'!$D20))</f>
        <v>5491.5</v>
      </c>
      <c r="N66" s="64">
        <f>IF('Expenses Summary'!$D20="","",IF('Cash Flow %s Yr1'!N66="","",'Cash Flow %s Yr1'!N66*'Expenses Summary'!$D20))</f>
        <v>5491.5</v>
      </c>
      <c r="O66" s="64">
        <f>IF('Expenses Summary'!$D20="","",IF('Cash Flow %s Yr1'!O66="","",'Cash Flow %s Yr1'!O66*'Expenses Summary'!$D20))</f>
        <v>5491.5</v>
      </c>
      <c r="P66" s="129"/>
      <c r="Q66" s="129"/>
      <c r="R66" s="129"/>
      <c r="S66" s="111">
        <f>IF(SUM(D66:R66)&gt;0,SUM(D66:R66)/'Expenses Summary'!$D20,"")</f>
        <v>1</v>
      </c>
    </row>
    <row r="67" spans="1:19" s="31" customFormat="1" x14ac:dyDescent="0.2">
      <c r="A67" s="36"/>
      <c r="B67" s="67" t="str">
        <f>'Expenses Summary'!B21</f>
        <v>2110</v>
      </c>
      <c r="C67" s="67" t="str">
        <f>'Expenses Summary'!C21</f>
        <v>Instructional Aide Overtime</v>
      </c>
      <c r="D67" s="64">
        <f>IF('Expenses Summary'!$D21="","",IF('Cash Flow %s Yr1'!D67="","",'Cash Flow %s Yr1'!D67*'Expenses Summary'!$D21))</f>
        <v>0</v>
      </c>
      <c r="E67" s="64">
        <f>IF('Expenses Summary'!$D21="","",IF('Cash Flow %s Yr1'!E67="","",'Cash Flow %s Yr1'!E67*'Expenses Summary'!$D21))</f>
        <v>0</v>
      </c>
      <c r="F67" s="64">
        <f>IF('Expenses Summary'!$D21="","",IF('Cash Flow %s Yr1'!F67="","",'Cash Flow %s Yr1'!F67*'Expenses Summary'!$D21))</f>
        <v>0</v>
      </c>
      <c r="G67" s="64">
        <f>IF('Expenses Summary'!$D21="","",IF('Cash Flow %s Yr1'!G67="","",'Cash Flow %s Yr1'!G67*'Expenses Summary'!$D21))</f>
        <v>0</v>
      </c>
      <c r="H67" s="64">
        <f>IF('Expenses Summary'!$D21="","",IF('Cash Flow %s Yr1'!H67="","",'Cash Flow %s Yr1'!H67*'Expenses Summary'!$D21))</f>
        <v>0</v>
      </c>
      <c r="I67" s="64">
        <f>IF('Expenses Summary'!$D21="","",IF('Cash Flow %s Yr1'!I67="","",'Cash Flow %s Yr1'!I67*'Expenses Summary'!$D21))</f>
        <v>0</v>
      </c>
      <c r="J67" s="64">
        <f>IF('Expenses Summary'!$D21="","",IF('Cash Flow %s Yr1'!J67="","",'Cash Flow %s Yr1'!J67*'Expenses Summary'!$D21))</f>
        <v>0</v>
      </c>
      <c r="K67" s="64">
        <f>IF('Expenses Summary'!$D21="","",IF('Cash Flow %s Yr1'!K67="","",'Cash Flow %s Yr1'!K67*'Expenses Summary'!$D21))</f>
        <v>0</v>
      </c>
      <c r="L67" s="64">
        <f>IF('Expenses Summary'!$D21="","",IF('Cash Flow %s Yr1'!L67="","",'Cash Flow %s Yr1'!L67*'Expenses Summary'!$D21))</f>
        <v>0</v>
      </c>
      <c r="M67" s="64">
        <f>IF('Expenses Summary'!$D21="","",IF('Cash Flow %s Yr1'!M67="","",'Cash Flow %s Yr1'!M67*'Expenses Summary'!$D21))</f>
        <v>0</v>
      </c>
      <c r="N67" s="64">
        <f>IF('Expenses Summary'!$D21="","",IF('Cash Flow %s Yr1'!N67="","",'Cash Flow %s Yr1'!N67*'Expenses Summary'!$D21))</f>
        <v>0</v>
      </c>
      <c r="O67" s="64">
        <f>IF('Expenses Summary'!$D21="","",IF('Cash Flow %s Yr1'!O67="","",'Cash Flow %s Yr1'!O67*'Expenses Summary'!$D21))</f>
        <v>0</v>
      </c>
      <c r="P67" s="129"/>
      <c r="Q67" s="129"/>
      <c r="R67" s="129"/>
      <c r="S67" s="111" t="str">
        <f>IF(SUM(D67:R67)&gt;0,SUM(D67:R67)/'Expenses Summary'!$D21,"")</f>
        <v/>
      </c>
    </row>
    <row r="68" spans="1:19" s="31" customFormat="1" x14ac:dyDescent="0.2">
      <c r="A68" s="36"/>
      <c r="B68" s="67" t="str">
        <f>'Expenses Summary'!B22</f>
        <v>2200</v>
      </c>
      <c r="C68" s="67" t="str">
        <f>'Expenses Summary'!C22</f>
        <v>Classified Support Salaries</v>
      </c>
      <c r="D68" s="64">
        <f>IF('Expenses Summary'!$D22="","",IF('Cash Flow %s Yr1'!D68="","",'Cash Flow %s Yr1'!D68*'Expenses Summary'!$D22))</f>
        <v>0</v>
      </c>
      <c r="E68" s="64">
        <f>IF('Expenses Summary'!$D22="","",IF('Cash Flow %s Yr1'!E68="","",'Cash Flow %s Yr1'!E68*'Expenses Summary'!$D22))</f>
        <v>0</v>
      </c>
      <c r="F68" s="64">
        <f>IF('Expenses Summary'!$D22="","",IF('Cash Flow %s Yr1'!F68="","",'Cash Flow %s Yr1'!F68*'Expenses Summary'!$D22))</f>
        <v>324</v>
      </c>
      <c r="G68" s="64">
        <f>IF('Expenses Summary'!$D22="","",IF('Cash Flow %s Yr1'!G68="","",'Cash Flow %s Yr1'!G68*'Expenses Summary'!$D22))</f>
        <v>324</v>
      </c>
      <c r="H68" s="64">
        <f>IF('Expenses Summary'!$D22="","",IF('Cash Flow %s Yr1'!H68="","",'Cash Flow %s Yr1'!H68*'Expenses Summary'!$D22))</f>
        <v>324</v>
      </c>
      <c r="I68" s="64">
        <f>IF('Expenses Summary'!$D22="","",IF('Cash Flow %s Yr1'!I68="","",'Cash Flow %s Yr1'!I68*'Expenses Summary'!$D22))</f>
        <v>324</v>
      </c>
      <c r="J68" s="64">
        <f>IF('Expenses Summary'!$D22="","",IF('Cash Flow %s Yr1'!J68="","",'Cash Flow %s Yr1'!J68*'Expenses Summary'!$D22))</f>
        <v>324</v>
      </c>
      <c r="K68" s="64">
        <f>IF('Expenses Summary'!$D22="","",IF('Cash Flow %s Yr1'!K68="","",'Cash Flow %s Yr1'!K68*'Expenses Summary'!$D22))</f>
        <v>324</v>
      </c>
      <c r="L68" s="64">
        <f>IF('Expenses Summary'!$D22="","",IF('Cash Flow %s Yr1'!L68="","",'Cash Flow %s Yr1'!L68*'Expenses Summary'!$D22))</f>
        <v>324</v>
      </c>
      <c r="M68" s="64">
        <f>IF('Expenses Summary'!$D22="","",IF('Cash Flow %s Yr1'!M68="","",'Cash Flow %s Yr1'!M68*'Expenses Summary'!$D22))</f>
        <v>324</v>
      </c>
      <c r="N68" s="64">
        <f>IF('Expenses Summary'!$D22="","",IF('Cash Flow %s Yr1'!N68="","",'Cash Flow %s Yr1'!N68*'Expenses Summary'!$D22))</f>
        <v>324</v>
      </c>
      <c r="O68" s="64">
        <f>IF('Expenses Summary'!$D22="","",IF('Cash Flow %s Yr1'!O68="","",'Cash Flow %s Yr1'!O68*'Expenses Summary'!$D22))</f>
        <v>324</v>
      </c>
      <c r="P68" s="129"/>
      <c r="Q68" s="129"/>
      <c r="R68" s="129"/>
      <c r="S68" s="111">
        <f>IF(SUM(D68:R68)&gt;0,SUM(D68:R68)/'Expenses Summary'!$D22,"")</f>
        <v>1</v>
      </c>
    </row>
    <row r="69" spans="1:19" s="31" customFormat="1" x14ac:dyDescent="0.2">
      <c r="A69" s="36"/>
      <c r="B69" s="67" t="str">
        <f>'Expenses Summary'!B23</f>
        <v>2210</v>
      </c>
      <c r="C69" s="67" t="str">
        <f>'Expenses Summary'!C23</f>
        <v>Classified Support Overtime</v>
      </c>
      <c r="D69" s="64">
        <f>IF('Expenses Summary'!$D23="","",IF('Cash Flow %s Yr1'!D69="","",'Cash Flow %s Yr1'!D69*'Expenses Summary'!$D23))</f>
        <v>0</v>
      </c>
      <c r="E69" s="64">
        <f>IF('Expenses Summary'!$D23="","",IF('Cash Flow %s Yr1'!E69="","",'Cash Flow %s Yr1'!E69*'Expenses Summary'!$D23))</f>
        <v>0</v>
      </c>
      <c r="F69" s="64">
        <f>IF('Expenses Summary'!$D23="","",IF('Cash Flow %s Yr1'!F69="","",'Cash Flow %s Yr1'!F69*'Expenses Summary'!$D23))</f>
        <v>0</v>
      </c>
      <c r="G69" s="64">
        <f>IF('Expenses Summary'!$D23="","",IF('Cash Flow %s Yr1'!G69="","",'Cash Flow %s Yr1'!G69*'Expenses Summary'!$D23))</f>
        <v>0</v>
      </c>
      <c r="H69" s="64">
        <f>IF('Expenses Summary'!$D23="","",IF('Cash Flow %s Yr1'!H69="","",'Cash Flow %s Yr1'!H69*'Expenses Summary'!$D23))</f>
        <v>0</v>
      </c>
      <c r="I69" s="64">
        <f>IF('Expenses Summary'!$D23="","",IF('Cash Flow %s Yr1'!I69="","",'Cash Flow %s Yr1'!I69*'Expenses Summary'!$D23))</f>
        <v>0</v>
      </c>
      <c r="J69" s="64">
        <f>IF('Expenses Summary'!$D23="","",IF('Cash Flow %s Yr1'!J69="","",'Cash Flow %s Yr1'!J69*'Expenses Summary'!$D23))</f>
        <v>0</v>
      </c>
      <c r="K69" s="64">
        <f>IF('Expenses Summary'!$D23="","",IF('Cash Flow %s Yr1'!K69="","",'Cash Flow %s Yr1'!K69*'Expenses Summary'!$D23))</f>
        <v>0</v>
      </c>
      <c r="L69" s="64">
        <f>IF('Expenses Summary'!$D23="","",IF('Cash Flow %s Yr1'!L69="","",'Cash Flow %s Yr1'!L69*'Expenses Summary'!$D23))</f>
        <v>0</v>
      </c>
      <c r="M69" s="64">
        <f>IF('Expenses Summary'!$D23="","",IF('Cash Flow %s Yr1'!M69="","",'Cash Flow %s Yr1'!M69*'Expenses Summary'!$D23))</f>
        <v>0</v>
      </c>
      <c r="N69" s="64">
        <f>IF('Expenses Summary'!$D23="","",IF('Cash Flow %s Yr1'!N69="","",'Cash Flow %s Yr1'!N69*'Expenses Summary'!$D23))</f>
        <v>0</v>
      </c>
      <c r="O69" s="64">
        <f>IF('Expenses Summary'!$D23="","",IF('Cash Flow %s Yr1'!O69="","",'Cash Flow %s Yr1'!O69*'Expenses Summary'!$D23))</f>
        <v>0</v>
      </c>
      <c r="P69" s="129"/>
      <c r="Q69" s="129"/>
      <c r="R69" s="129"/>
      <c r="S69" s="111" t="str">
        <f>IF(SUM(D69:R69)&gt;0,SUM(D69:R69)/'Expenses Summary'!$D23,"")</f>
        <v/>
      </c>
    </row>
    <row r="70" spans="1:19" s="31" customFormat="1" x14ac:dyDescent="0.2">
      <c r="A70" s="36"/>
      <c r="B70" s="67" t="str">
        <f>'Expenses Summary'!B24</f>
        <v>2300</v>
      </c>
      <c r="C70" s="67" t="str">
        <f>'Expenses Summary'!C24</f>
        <v>Classified Supervisor and Administrator Salaries</v>
      </c>
      <c r="D70" s="64">
        <f>IF('Expenses Summary'!$D24="","",IF('Cash Flow %s Yr1'!D70="","",'Cash Flow %s Yr1'!D70*'Expenses Summary'!$D24))</f>
        <v>0</v>
      </c>
      <c r="E70" s="64">
        <f>IF('Expenses Summary'!$D24="","",IF('Cash Flow %s Yr1'!E70="","",'Cash Flow %s Yr1'!E70*'Expenses Summary'!$D24))</f>
        <v>0</v>
      </c>
      <c r="F70" s="64">
        <f>IF('Expenses Summary'!$D24="","",IF('Cash Flow %s Yr1'!F70="","",'Cash Flow %s Yr1'!F70*'Expenses Summary'!$D24))</f>
        <v>0</v>
      </c>
      <c r="G70" s="64">
        <f>IF('Expenses Summary'!$D24="","",IF('Cash Flow %s Yr1'!G70="","",'Cash Flow %s Yr1'!G70*'Expenses Summary'!$D24))</f>
        <v>0</v>
      </c>
      <c r="H70" s="64">
        <f>IF('Expenses Summary'!$D24="","",IF('Cash Flow %s Yr1'!H70="","",'Cash Flow %s Yr1'!H70*'Expenses Summary'!$D24))</f>
        <v>0</v>
      </c>
      <c r="I70" s="64">
        <f>IF('Expenses Summary'!$D24="","",IF('Cash Flow %s Yr1'!I70="","",'Cash Flow %s Yr1'!I70*'Expenses Summary'!$D24))</f>
        <v>0</v>
      </c>
      <c r="J70" s="64">
        <f>IF('Expenses Summary'!$D24="","",IF('Cash Flow %s Yr1'!J70="","",'Cash Flow %s Yr1'!J70*'Expenses Summary'!$D24))</f>
        <v>0</v>
      </c>
      <c r="K70" s="64">
        <f>IF('Expenses Summary'!$D24="","",IF('Cash Flow %s Yr1'!K70="","",'Cash Flow %s Yr1'!K70*'Expenses Summary'!$D24))</f>
        <v>0</v>
      </c>
      <c r="L70" s="64">
        <f>IF('Expenses Summary'!$D24="","",IF('Cash Flow %s Yr1'!L70="","",'Cash Flow %s Yr1'!L70*'Expenses Summary'!$D24))</f>
        <v>0</v>
      </c>
      <c r="M70" s="64">
        <f>IF('Expenses Summary'!$D24="","",IF('Cash Flow %s Yr1'!M70="","",'Cash Flow %s Yr1'!M70*'Expenses Summary'!$D24))</f>
        <v>0</v>
      </c>
      <c r="N70" s="64">
        <f>IF('Expenses Summary'!$D24="","",IF('Cash Flow %s Yr1'!N70="","",'Cash Flow %s Yr1'!N70*'Expenses Summary'!$D24))</f>
        <v>0</v>
      </c>
      <c r="O70" s="64">
        <f>IF('Expenses Summary'!$D24="","",IF('Cash Flow %s Yr1'!O70="","",'Cash Flow %s Yr1'!O70*'Expenses Summary'!$D24))</f>
        <v>0</v>
      </c>
      <c r="P70" s="129"/>
      <c r="Q70" s="129"/>
      <c r="R70" s="129"/>
      <c r="S70" s="111" t="str">
        <f>IF(SUM(D70:R70)&gt;0,SUM(D70:R70)/'Expenses Summary'!$D24,"")</f>
        <v/>
      </c>
    </row>
    <row r="71" spans="1:19" s="31" customFormat="1" x14ac:dyDescent="0.2">
      <c r="A71" s="36"/>
      <c r="B71" s="67" t="str">
        <f>'Expenses Summary'!B25</f>
        <v>2400</v>
      </c>
      <c r="C71" s="67" t="str">
        <f>'Expenses Summary'!C25</f>
        <v>Clerical, Technical, and Office Staff Salaries</v>
      </c>
      <c r="D71" s="64">
        <f>IF('Expenses Summary'!$D25="","",IF('Cash Flow %s Yr1'!D71="","",'Cash Flow %s Yr1'!D71*'Expenses Summary'!$D25))</f>
        <v>0</v>
      </c>
      <c r="E71" s="64">
        <f>IF('Expenses Summary'!$D25="","",IF('Cash Flow %s Yr1'!E71="","",'Cash Flow %s Yr1'!E71*'Expenses Summary'!$D25))</f>
        <v>0</v>
      </c>
      <c r="F71" s="64">
        <f>IF('Expenses Summary'!$D25="","",IF('Cash Flow %s Yr1'!F71="","",'Cash Flow %s Yr1'!F71*'Expenses Summary'!$D25))</f>
        <v>1966.1000000000001</v>
      </c>
      <c r="G71" s="64">
        <f>IF('Expenses Summary'!$D25="","",IF('Cash Flow %s Yr1'!G71="","",'Cash Flow %s Yr1'!G71*'Expenses Summary'!$D25))</f>
        <v>1966.1000000000001</v>
      </c>
      <c r="H71" s="64">
        <f>IF('Expenses Summary'!$D25="","",IF('Cash Flow %s Yr1'!H71="","",'Cash Flow %s Yr1'!H71*'Expenses Summary'!$D25))</f>
        <v>1966.1000000000001</v>
      </c>
      <c r="I71" s="64">
        <f>IF('Expenses Summary'!$D25="","",IF('Cash Flow %s Yr1'!I71="","",'Cash Flow %s Yr1'!I71*'Expenses Summary'!$D25))</f>
        <v>1966.1000000000001</v>
      </c>
      <c r="J71" s="64">
        <f>IF('Expenses Summary'!$D25="","",IF('Cash Flow %s Yr1'!J71="","",'Cash Flow %s Yr1'!J71*'Expenses Summary'!$D25))</f>
        <v>1966.1000000000001</v>
      </c>
      <c r="K71" s="64">
        <f>IF('Expenses Summary'!$D25="","",IF('Cash Flow %s Yr1'!K71="","",'Cash Flow %s Yr1'!K71*'Expenses Summary'!$D25))</f>
        <v>1966.1000000000001</v>
      </c>
      <c r="L71" s="64">
        <f>IF('Expenses Summary'!$D25="","",IF('Cash Flow %s Yr1'!L71="","",'Cash Flow %s Yr1'!L71*'Expenses Summary'!$D25))</f>
        <v>1966.1000000000001</v>
      </c>
      <c r="M71" s="64">
        <f>IF('Expenses Summary'!$D25="","",IF('Cash Flow %s Yr1'!M71="","",'Cash Flow %s Yr1'!M71*'Expenses Summary'!$D25))</f>
        <v>1966.1000000000001</v>
      </c>
      <c r="N71" s="64">
        <f>IF('Expenses Summary'!$D25="","",IF('Cash Flow %s Yr1'!N71="","",'Cash Flow %s Yr1'!N71*'Expenses Summary'!$D25))</f>
        <v>1966.1000000000001</v>
      </c>
      <c r="O71" s="64">
        <f>IF('Expenses Summary'!$D25="","",IF('Cash Flow %s Yr1'!O71="","",'Cash Flow %s Yr1'!O71*'Expenses Summary'!$D25))</f>
        <v>1966.1000000000001</v>
      </c>
      <c r="P71" s="129"/>
      <c r="Q71" s="129"/>
      <c r="R71" s="129"/>
      <c r="S71" s="111">
        <f>IF(SUM(D71:R71)&gt;0,SUM(D71:R71)/'Expenses Summary'!$D25,"")</f>
        <v>1</v>
      </c>
    </row>
    <row r="72" spans="1:19" s="31" customFormat="1" x14ac:dyDescent="0.2">
      <c r="A72" s="36"/>
      <c r="B72" s="67" t="str">
        <f>'Expenses Summary'!B26</f>
        <v>2410</v>
      </c>
      <c r="C72" s="67" t="str">
        <f>'Expenses Summary'!C26</f>
        <v>Clerical, Technical, and Office Staff Overtime</v>
      </c>
      <c r="D72" s="64">
        <f>IF('Expenses Summary'!$D26="","",IF('Cash Flow %s Yr1'!D72="","",'Cash Flow %s Yr1'!D72*'Expenses Summary'!$D26))</f>
        <v>0</v>
      </c>
      <c r="E72" s="64">
        <f>IF('Expenses Summary'!$D26="","",IF('Cash Flow %s Yr1'!E72="","",'Cash Flow %s Yr1'!E72*'Expenses Summary'!$D26))</f>
        <v>0</v>
      </c>
      <c r="F72" s="64">
        <f>IF('Expenses Summary'!$D26="","",IF('Cash Flow %s Yr1'!F72="","",'Cash Flow %s Yr1'!F72*'Expenses Summary'!$D26))</f>
        <v>0</v>
      </c>
      <c r="G72" s="64">
        <f>IF('Expenses Summary'!$D26="","",IF('Cash Flow %s Yr1'!G72="","",'Cash Flow %s Yr1'!G72*'Expenses Summary'!$D26))</f>
        <v>0</v>
      </c>
      <c r="H72" s="64">
        <f>IF('Expenses Summary'!$D26="","",IF('Cash Flow %s Yr1'!H72="","",'Cash Flow %s Yr1'!H72*'Expenses Summary'!$D26))</f>
        <v>0</v>
      </c>
      <c r="I72" s="64">
        <f>IF('Expenses Summary'!$D26="","",IF('Cash Flow %s Yr1'!I72="","",'Cash Flow %s Yr1'!I72*'Expenses Summary'!$D26))</f>
        <v>0</v>
      </c>
      <c r="J72" s="64">
        <f>IF('Expenses Summary'!$D26="","",IF('Cash Flow %s Yr1'!J72="","",'Cash Flow %s Yr1'!J72*'Expenses Summary'!$D26))</f>
        <v>0</v>
      </c>
      <c r="K72" s="64">
        <f>IF('Expenses Summary'!$D26="","",IF('Cash Flow %s Yr1'!K72="","",'Cash Flow %s Yr1'!K72*'Expenses Summary'!$D26))</f>
        <v>0</v>
      </c>
      <c r="L72" s="64">
        <f>IF('Expenses Summary'!$D26="","",IF('Cash Flow %s Yr1'!L72="","",'Cash Flow %s Yr1'!L72*'Expenses Summary'!$D26))</f>
        <v>0</v>
      </c>
      <c r="M72" s="64">
        <f>IF('Expenses Summary'!$D26="","",IF('Cash Flow %s Yr1'!M72="","",'Cash Flow %s Yr1'!M72*'Expenses Summary'!$D26))</f>
        <v>0</v>
      </c>
      <c r="N72" s="64">
        <f>IF('Expenses Summary'!$D26="","",IF('Cash Flow %s Yr1'!N72="","",'Cash Flow %s Yr1'!N72*'Expenses Summary'!$D26))</f>
        <v>0</v>
      </c>
      <c r="O72" s="64">
        <f>IF('Expenses Summary'!$D26="","",IF('Cash Flow %s Yr1'!O72="","",'Cash Flow %s Yr1'!O72*'Expenses Summary'!$D26))</f>
        <v>0</v>
      </c>
      <c r="P72" s="129"/>
      <c r="Q72" s="129"/>
      <c r="R72" s="129"/>
      <c r="S72" s="111" t="str">
        <f>IF(SUM(D72:R72)&gt;0,SUM(D72:R72)/'Expenses Summary'!$D26,"")</f>
        <v/>
      </c>
    </row>
    <row r="73" spans="1:19" s="31" customFormat="1" x14ac:dyDescent="0.2">
      <c r="A73" s="36"/>
      <c r="B73" s="67" t="str">
        <f>'Expenses Summary'!B27</f>
        <v>2900</v>
      </c>
      <c r="C73" s="67" t="str">
        <f>'Expenses Summary'!C27</f>
        <v>Other Classified Salaries</v>
      </c>
      <c r="D73" s="64">
        <f>IF('Expenses Summary'!$D27="","",IF('Cash Flow %s Yr1'!D73="","",'Cash Flow %s Yr1'!D73*'Expenses Summary'!$D27))</f>
        <v>0</v>
      </c>
      <c r="E73" s="64">
        <f>IF('Expenses Summary'!$D27="","",IF('Cash Flow %s Yr1'!E73="","",'Cash Flow %s Yr1'!E73*'Expenses Summary'!$D27))</f>
        <v>0</v>
      </c>
      <c r="F73" s="64">
        <f>IF('Expenses Summary'!$D27="","",IF('Cash Flow %s Yr1'!F73="","",'Cash Flow %s Yr1'!F73*'Expenses Summary'!$D27))</f>
        <v>0</v>
      </c>
      <c r="G73" s="64">
        <f>IF('Expenses Summary'!$D27="","",IF('Cash Flow %s Yr1'!G73="","",'Cash Flow %s Yr1'!G73*'Expenses Summary'!$D27))</f>
        <v>0</v>
      </c>
      <c r="H73" s="64">
        <f>IF('Expenses Summary'!$D27="","",IF('Cash Flow %s Yr1'!H73="","",'Cash Flow %s Yr1'!H73*'Expenses Summary'!$D27))</f>
        <v>0</v>
      </c>
      <c r="I73" s="64">
        <f>IF('Expenses Summary'!$D27="","",IF('Cash Flow %s Yr1'!I73="","",'Cash Flow %s Yr1'!I73*'Expenses Summary'!$D27))</f>
        <v>0</v>
      </c>
      <c r="J73" s="64">
        <f>IF('Expenses Summary'!$D27="","",IF('Cash Flow %s Yr1'!J73="","",'Cash Flow %s Yr1'!J73*'Expenses Summary'!$D27))</f>
        <v>0</v>
      </c>
      <c r="K73" s="64">
        <f>IF('Expenses Summary'!$D27="","",IF('Cash Flow %s Yr1'!K73="","",'Cash Flow %s Yr1'!K73*'Expenses Summary'!$D27))</f>
        <v>0</v>
      </c>
      <c r="L73" s="64">
        <f>IF('Expenses Summary'!$D27="","",IF('Cash Flow %s Yr1'!L73="","",'Cash Flow %s Yr1'!L73*'Expenses Summary'!$D27))</f>
        <v>0</v>
      </c>
      <c r="M73" s="64">
        <f>IF('Expenses Summary'!$D27="","",IF('Cash Flow %s Yr1'!M73="","",'Cash Flow %s Yr1'!M73*'Expenses Summary'!$D27))</f>
        <v>0</v>
      </c>
      <c r="N73" s="64">
        <f>IF('Expenses Summary'!$D27="","",IF('Cash Flow %s Yr1'!N73="","",'Cash Flow %s Yr1'!N73*'Expenses Summary'!$D27))</f>
        <v>0</v>
      </c>
      <c r="O73" s="64">
        <f>IF('Expenses Summary'!$D27="","",IF('Cash Flow %s Yr1'!O73="","",'Cash Flow %s Yr1'!O73*'Expenses Summary'!$D27))</f>
        <v>0</v>
      </c>
      <c r="P73" s="129"/>
      <c r="Q73" s="129"/>
      <c r="R73" s="129"/>
      <c r="S73" s="111" t="str">
        <f>IF(SUM(D73:R73)&gt;0,SUM(D73:R73)/'Expenses Summary'!$D27,"")</f>
        <v/>
      </c>
    </row>
    <row r="74" spans="1:19" s="31" customFormat="1" x14ac:dyDescent="0.2">
      <c r="A74" s="36"/>
      <c r="B74" s="67" t="str">
        <f>'Expenses Summary'!B28</f>
        <v>2905</v>
      </c>
      <c r="C74" s="67" t="str">
        <f>'Expenses Summary'!C28</f>
        <v>Other Stipends</v>
      </c>
      <c r="D74" s="64">
        <f>IF('Expenses Summary'!$D28="","",IF('Cash Flow %s Yr1'!D74="","",'Cash Flow %s Yr1'!D74*'Expenses Summary'!$D28))</f>
        <v>0</v>
      </c>
      <c r="E74" s="64">
        <f>IF('Expenses Summary'!$D28="","",IF('Cash Flow %s Yr1'!E74="","",'Cash Flow %s Yr1'!E74*'Expenses Summary'!$D28))</f>
        <v>0</v>
      </c>
      <c r="F74" s="64">
        <f>IF('Expenses Summary'!$D28="","",IF('Cash Flow %s Yr1'!F74="","",'Cash Flow %s Yr1'!F74*'Expenses Summary'!$D28))</f>
        <v>0</v>
      </c>
      <c r="G74" s="64">
        <f>IF('Expenses Summary'!$D28="","",IF('Cash Flow %s Yr1'!G74="","",'Cash Flow %s Yr1'!G74*'Expenses Summary'!$D28))</f>
        <v>0</v>
      </c>
      <c r="H74" s="64">
        <f>IF('Expenses Summary'!$D28="","",IF('Cash Flow %s Yr1'!H74="","",'Cash Flow %s Yr1'!H74*'Expenses Summary'!$D28))</f>
        <v>0</v>
      </c>
      <c r="I74" s="64">
        <f>IF('Expenses Summary'!$D28="","",IF('Cash Flow %s Yr1'!I74="","",'Cash Flow %s Yr1'!I74*'Expenses Summary'!$D28))</f>
        <v>0</v>
      </c>
      <c r="J74" s="64">
        <f>IF('Expenses Summary'!$D28="","",IF('Cash Flow %s Yr1'!J74="","",'Cash Flow %s Yr1'!J74*'Expenses Summary'!$D28))</f>
        <v>0</v>
      </c>
      <c r="K74" s="64">
        <f>IF('Expenses Summary'!$D28="","",IF('Cash Flow %s Yr1'!K74="","",'Cash Flow %s Yr1'!K74*'Expenses Summary'!$D28))</f>
        <v>0</v>
      </c>
      <c r="L74" s="64">
        <f>IF('Expenses Summary'!$D28="","",IF('Cash Flow %s Yr1'!L74="","",'Cash Flow %s Yr1'!L74*'Expenses Summary'!$D28))</f>
        <v>0</v>
      </c>
      <c r="M74" s="64">
        <f>IF('Expenses Summary'!$D28="","",IF('Cash Flow %s Yr1'!M74="","",'Cash Flow %s Yr1'!M74*'Expenses Summary'!$D28))</f>
        <v>0</v>
      </c>
      <c r="N74" s="64">
        <f>IF('Expenses Summary'!$D28="","",IF('Cash Flow %s Yr1'!N74="","",'Cash Flow %s Yr1'!N74*'Expenses Summary'!$D28))</f>
        <v>0</v>
      </c>
      <c r="O74" s="64">
        <f>IF('Expenses Summary'!$D28="","",IF('Cash Flow %s Yr1'!O74="","",'Cash Flow %s Yr1'!O74*'Expenses Summary'!$D28))</f>
        <v>0</v>
      </c>
      <c r="P74" s="129"/>
      <c r="Q74" s="129"/>
      <c r="R74" s="129"/>
      <c r="S74" s="111" t="str">
        <f>IF(SUM(D74:R74)&gt;0,SUM(D74:R74)/'Expenses Summary'!$D28,"")</f>
        <v/>
      </c>
    </row>
    <row r="75" spans="1:19" s="31" customFormat="1" x14ac:dyDescent="0.2">
      <c r="A75" s="36"/>
      <c r="B75" s="67" t="str">
        <f>'Expenses Summary'!B29</f>
        <v>2910</v>
      </c>
      <c r="C75" s="67" t="str">
        <f>'Expenses Summary'!C29</f>
        <v>Other Classified Overtime</v>
      </c>
      <c r="D75" s="64">
        <f>IF('Expenses Summary'!$D29="","",IF('Cash Flow %s Yr1'!D75="","",'Cash Flow %s Yr1'!D75*'Expenses Summary'!$D29))</f>
        <v>0</v>
      </c>
      <c r="E75" s="64">
        <f>IF('Expenses Summary'!$D29="","",IF('Cash Flow %s Yr1'!E75="","",'Cash Flow %s Yr1'!E75*'Expenses Summary'!$D29))</f>
        <v>0</v>
      </c>
      <c r="F75" s="64">
        <f>IF('Expenses Summary'!$D29="","",IF('Cash Flow %s Yr1'!F75="","",'Cash Flow %s Yr1'!F75*'Expenses Summary'!$D29))</f>
        <v>0</v>
      </c>
      <c r="G75" s="64">
        <f>IF('Expenses Summary'!$D29="","",IF('Cash Flow %s Yr1'!G75="","",'Cash Flow %s Yr1'!G75*'Expenses Summary'!$D29))</f>
        <v>0</v>
      </c>
      <c r="H75" s="64">
        <f>IF('Expenses Summary'!$D29="","",IF('Cash Flow %s Yr1'!H75="","",'Cash Flow %s Yr1'!H75*'Expenses Summary'!$D29))</f>
        <v>0</v>
      </c>
      <c r="I75" s="64">
        <f>IF('Expenses Summary'!$D29="","",IF('Cash Flow %s Yr1'!I75="","",'Cash Flow %s Yr1'!I75*'Expenses Summary'!$D29))</f>
        <v>0</v>
      </c>
      <c r="J75" s="64">
        <f>IF('Expenses Summary'!$D29="","",IF('Cash Flow %s Yr1'!J75="","",'Cash Flow %s Yr1'!J75*'Expenses Summary'!$D29))</f>
        <v>0</v>
      </c>
      <c r="K75" s="64">
        <f>IF('Expenses Summary'!$D29="","",IF('Cash Flow %s Yr1'!K75="","",'Cash Flow %s Yr1'!K75*'Expenses Summary'!$D29))</f>
        <v>0</v>
      </c>
      <c r="L75" s="64">
        <f>IF('Expenses Summary'!$D29="","",IF('Cash Flow %s Yr1'!L75="","",'Cash Flow %s Yr1'!L75*'Expenses Summary'!$D29))</f>
        <v>0</v>
      </c>
      <c r="M75" s="64">
        <f>IF('Expenses Summary'!$D29="","",IF('Cash Flow %s Yr1'!M75="","",'Cash Flow %s Yr1'!M75*'Expenses Summary'!$D29))</f>
        <v>0</v>
      </c>
      <c r="N75" s="64">
        <f>IF('Expenses Summary'!$D29="","",IF('Cash Flow %s Yr1'!N75="","",'Cash Flow %s Yr1'!N75*'Expenses Summary'!$D29))</f>
        <v>0</v>
      </c>
      <c r="O75" s="64">
        <f>IF('Expenses Summary'!$D29="","",IF('Cash Flow %s Yr1'!O75="","",'Cash Flow %s Yr1'!O75*'Expenses Summary'!$D29))</f>
        <v>0</v>
      </c>
      <c r="P75" s="129"/>
      <c r="Q75" s="129"/>
      <c r="R75" s="129"/>
      <c r="S75" s="111" t="str">
        <f>IF(SUM(D75:R75)&gt;0,SUM(D75:R75)/'Expenses Summary'!$D29,"")</f>
        <v/>
      </c>
    </row>
    <row r="76" spans="1:19" s="31" customFormat="1" x14ac:dyDescent="0.2">
      <c r="A76" s="36"/>
      <c r="B76" s="43" t="s">
        <v>738</v>
      </c>
      <c r="C76" s="34" t="s">
        <v>721</v>
      </c>
      <c r="D76" s="172" t="str">
        <f t="shared" ref="D76:I76" si="6">IF(SUM(D65:D75)&gt;0,SUM(D65:D75),"")</f>
        <v/>
      </c>
      <c r="E76" s="172" t="str">
        <f t="shared" si="6"/>
        <v/>
      </c>
      <c r="F76" s="172">
        <f t="shared" si="6"/>
        <v>7781.6</v>
      </c>
      <c r="G76" s="172">
        <f t="shared" si="6"/>
        <v>7781.6</v>
      </c>
      <c r="H76" s="172">
        <f t="shared" si="6"/>
        <v>7781.6</v>
      </c>
      <c r="I76" s="172">
        <f t="shared" si="6"/>
        <v>7781.6</v>
      </c>
      <c r="J76" s="172">
        <f t="shared" ref="J76:O76" si="7">IF(SUM(J65:J75)&gt;0,SUM(J65:J75),"")</f>
        <v>7781.6</v>
      </c>
      <c r="K76" s="172">
        <f t="shared" si="7"/>
        <v>7781.6</v>
      </c>
      <c r="L76" s="172">
        <f t="shared" si="7"/>
        <v>7781.6</v>
      </c>
      <c r="M76" s="172">
        <f t="shared" si="7"/>
        <v>7781.6</v>
      </c>
      <c r="N76" s="172">
        <f t="shared" si="7"/>
        <v>7781.6</v>
      </c>
      <c r="O76" s="172">
        <f t="shared" si="7"/>
        <v>7781.6</v>
      </c>
      <c r="P76" s="100"/>
      <c r="Q76" s="100"/>
      <c r="R76" s="100"/>
      <c r="S76" s="107"/>
    </row>
    <row r="77" spans="1:19" s="31" customFormat="1" x14ac:dyDescent="0.2">
      <c r="A77" s="36"/>
      <c r="B77" s="40"/>
      <c r="C77" s="3"/>
      <c r="D77" s="102"/>
      <c r="E77" s="102"/>
      <c r="F77" s="102"/>
      <c r="G77" s="102"/>
      <c r="H77" s="102"/>
      <c r="I77" s="102"/>
      <c r="J77" s="102"/>
      <c r="K77" s="102"/>
      <c r="L77" s="102"/>
      <c r="M77" s="102"/>
      <c r="N77" s="102"/>
      <c r="O77" s="102"/>
      <c r="P77" s="102"/>
      <c r="Q77" s="102"/>
      <c r="R77" s="102"/>
    </row>
    <row r="78" spans="1:19" s="31" customFormat="1" x14ac:dyDescent="0.2">
      <c r="B78" s="34" t="s">
        <v>735</v>
      </c>
      <c r="C78" s="3"/>
      <c r="D78" s="102"/>
      <c r="E78" s="102"/>
      <c r="F78" s="102"/>
      <c r="G78" s="102"/>
      <c r="H78" s="102"/>
      <c r="I78" s="102"/>
      <c r="J78" s="102"/>
      <c r="K78" s="102"/>
      <c r="L78" s="102"/>
      <c r="M78" s="102"/>
      <c r="N78" s="102"/>
      <c r="O78" s="102"/>
      <c r="P78" s="102"/>
      <c r="Q78" s="102"/>
      <c r="R78" s="102"/>
    </row>
    <row r="79" spans="1:19" s="31" customFormat="1" x14ac:dyDescent="0.2">
      <c r="A79" s="36"/>
      <c r="B79" s="67" t="str">
        <f>'Expenses Summary'!B33</f>
        <v>3101</v>
      </c>
      <c r="C79" s="67" t="str">
        <f>'Expenses Summary'!C33</f>
        <v>State Teachers' Retirement System, certificated positions</v>
      </c>
      <c r="D79" s="64">
        <f>IF('Expenses Summary'!$D33="","",IF('Cash Flow %s Yr1'!D79="","",'Cash Flow %s Yr1'!D79*'Expenses Summary'!$D33))</f>
        <v>2389.9850000000001</v>
      </c>
      <c r="E79" s="64">
        <f>IF('Expenses Summary'!$D33="","",IF('Cash Flow %s Yr1'!E79="","",'Cash Flow %s Yr1'!E79*'Expenses Summary'!$D33))</f>
        <v>2389.9850000000001</v>
      </c>
      <c r="F79" s="64">
        <f>IF('Expenses Summary'!$D33="","",IF('Cash Flow %s Yr1'!F79="","",'Cash Flow %s Yr1'!F79*'Expenses Summary'!$D33))</f>
        <v>2389.9850000000001</v>
      </c>
      <c r="G79" s="64">
        <f>IF('Expenses Summary'!$D33="","",IF('Cash Flow %s Yr1'!G79="","",'Cash Flow %s Yr1'!G79*'Expenses Summary'!$D33))</f>
        <v>2389.9850000000001</v>
      </c>
      <c r="H79" s="64">
        <f>IF('Expenses Summary'!$D33="","",IF('Cash Flow %s Yr1'!H79="","",'Cash Flow %s Yr1'!H79*'Expenses Summary'!$D33))</f>
        <v>2389.9850000000001</v>
      </c>
      <c r="I79" s="64">
        <f>IF('Expenses Summary'!$D33="","",IF('Cash Flow %s Yr1'!I79="","",'Cash Flow %s Yr1'!I79*'Expenses Summary'!$D33))</f>
        <v>2389.9850000000001</v>
      </c>
      <c r="J79" s="64">
        <f>IF('Expenses Summary'!$D33="","",IF('Cash Flow %s Yr1'!J79="","",'Cash Flow %s Yr1'!J79*'Expenses Summary'!$D33))</f>
        <v>2389.9850000000001</v>
      </c>
      <c r="K79" s="64">
        <f>IF('Expenses Summary'!$D33="","",IF('Cash Flow %s Yr1'!K79="","",'Cash Flow %s Yr1'!K79*'Expenses Summary'!$D33))</f>
        <v>2389.9850000000001</v>
      </c>
      <c r="L79" s="64">
        <f>IF('Expenses Summary'!$D33="","",IF('Cash Flow %s Yr1'!L79="","",'Cash Flow %s Yr1'!L79*'Expenses Summary'!$D33))</f>
        <v>2418.7800000000002</v>
      </c>
      <c r="M79" s="64">
        <f>IF('Expenses Summary'!$D33="","",IF('Cash Flow %s Yr1'!M79="","",'Cash Flow %s Yr1'!M79*'Expenses Summary'!$D33))</f>
        <v>2418.7800000000002</v>
      </c>
      <c r="N79" s="64">
        <f>IF('Expenses Summary'!$D33="","",IF('Cash Flow %s Yr1'!N79="","",'Cash Flow %s Yr1'!N79*'Expenses Summary'!$D33))</f>
        <v>2418.7800000000002</v>
      </c>
      <c r="O79" s="64">
        <f>IF('Expenses Summary'!$D33="","",IF('Cash Flow %s Yr1'!O79="","",'Cash Flow %s Yr1'!O79*'Expenses Summary'!$D33))</f>
        <v>2418.7800000000002</v>
      </c>
      <c r="P79" s="129"/>
      <c r="Q79" s="129"/>
      <c r="R79" s="129"/>
      <c r="S79" s="111">
        <f>IF(SUM(D79:R79)&gt;0,SUM(D79:R79)/'Expenses Summary'!$D33,"")</f>
        <v>0.99999999999999989</v>
      </c>
    </row>
    <row r="80" spans="1:19" s="31" customFormat="1" x14ac:dyDescent="0.2">
      <c r="A80" s="36"/>
      <c r="B80" s="67" t="str">
        <f>'Expenses Summary'!B34</f>
        <v>3202</v>
      </c>
      <c r="C80" s="67" t="str">
        <f>'Expenses Summary'!C34</f>
        <v>Public Employees' Retirement System, classified positions</v>
      </c>
      <c r="D80" s="64">
        <f>IF('Expenses Summary'!$D34="","",IF('Cash Flow %s Yr1'!D80="","",'Cash Flow %s Yr1'!D80*'Expenses Summary'!$D34))</f>
        <v>0</v>
      </c>
      <c r="E80" s="64">
        <f>IF('Expenses Summary'!$D34="","",IF('Cash Flow %s Yr1'!E80="","",'Cash Flow %s Yr1'!E80*'Expenses Summary'!$D34))</f>
        <v>0</v>
      </c>
      <c r="F80" s="64">
        <f>IF('Expenses Summary'!$D34="","",IF('Cash Flow %s Yr1'!F80="","",'Cash Flow %s Yr1'!F80*'Expenses Summary'!$D34))</f>
        <v>0</v>
      </c>
      <c r="G80" s="64">
        <f>IF('Expenses Summary'!$D34="","",IF('Cash Flow %s Yr1'!G80="","",'Cash Flow %s Yr1'!G80*'Expenses Summary'!$D34))</f>
        <v>0</v>
      </c>
      <c r="H80" s="64">
        <f>IF('Expenses Summary'!$D34="","",IF('Cash Flow %s Yr1'!H80="","",'Cash Flow %s Yr1'!H80*'Expenses Summary'!$D34))</f>
        <v>0</v>
      </c>
      <c r="I80" s="64">
        <f>IF('Expenses Summary'!$D34="","",IF('Cash Flow %s Yr1'!I80="","",'Cash Flow %s Yr1'!I80*'Expenses Summary'!$D34))</f>
        <v>0</v>
      </c>
      <c r="J80" s="64">
        <f>IF('Expenses Summary'!$D34="","",IF('Cash Flow %s Yr1'!J80="","",'Cash Flow %s Yr1'!J80*'Expenses Summary'!$D34))</f>
        <v>0</v>
      </c>
      <c r="K80" s="64">
        <f>IF('Expenses Summary'!$D34="","",IF('Cash Flow %s Yr1'!K80="","",'Cash Flow %s Yr1'!K80*'Expenses Summary'!$D34))</f>
        <v>0</v>
      </c>
      <c r="L80" s="64">
        <f>IF('Expenses Summary'!$D34="","",IF('Cash Flow %s Yr1'!L80="","",'Cash Flow %s Yr1'!L80*'Expenses Summary'!$D34))</f>
        <v>0</v>
      </c>
      <c r="M80" s="64">
        <f>IF('Expenses Summary'!$D34="","",IF('Cash Flow %s Yr1'!M80="","",'Cash Flow %s Yr1'!M80*'Expenses Summary'!$D34))</f>
        <v>0</v>
      </c>
      <c r="N80" s="64">
        <f>IF('Expenses Summary'!$D34="","",IF('Cash Flow %s Yr1'!N80="","",'Cash Flow %s Yr1'!N80*'Expenses Summary'!$D34))</f>
        <v>0</v>
      </c>
      <c r="O80" s="64">
        <f>IF('Expenses Summary'!$D34="","",IF('Cash Flow %s Yr1'!O80="","",'Cash Flow %s Yr1'!O80*'Expenses Summary'!$D34))</f>
        <v>0</v>
      </c>
      <c r="P80" s="129"/>
      <c r="Q80" s="129"/>
      <c r="R80" s="129"/>
      <c r="S80" s="111" t="str">
        <f>IF(SUM(D80:R80)&gt;0,SUM(D80:R80)/'Expenses Summary'!$D34,"")</f>
        <v/>
      </c>
    </row>
    <row r="81" spans="1:19" s="31" customFormat="1" x14ac:dyDescent="0.2">
      <c r="A81" s="36"/>
      <c r="B81" s="67" t="str">
        <f>'Expenses Summary'!B35</f>
        <v>3313</v>
      </c>
      <c r="C81" s="67" t="str">
        <f>'Expenses Summary'!C35</f>
        <v>OASDI</v>
      </c>
      <c r="D81" s="64">
        <f>IF('Expenses Summary'!$D35="","",IF('Cash Flow %s Yr1'!D81="","",'Cash Flow %s Yr1'!D81*'Expenses Summary'!$D35))</f>
        <v>568.13499999999999</v>
      </c>
      <c r="E81" s="64">
        <f>IF('Expenses Summary'!$D35="","",IF('Cash Flow %s Yr1'!E81="","",'Cash Flow %s Yr1'!E81*'Expenses Summary'!$D35))</f>
        <v>568.13499999999999</v>
      </c>
      <c r="F81" s="64">
        <f>IF('Expenses Summary'!$D35="","",IF('Cash Flow %s Yr1'!F81="","",'Cash Flow %s Yr1'!F81*'Expenses Summary'!$D35))</f>
        <v>568.13499999999999</v>
      </c>
      <c r="G81" s="64">
        <f>IF('Expenses Summary'!$D35="","",IF('Cash Flow %s Yr1'!G81="","",'Cash Flow %s Yr1'!G81*'Expenses Summary'!$D35))</f>
        <v>568.13499999999999</v>
      </c>
      <c r="H81" s="64">
        <f>IF('Expenses Summary'!$D35="","",IF('Cash Flow %s Yr1'!H81="","",'Cash Flow %s Yr1'!H81*'Expenses Summary'!$D35))</f>
        <v>568.13499999999999</v>
      </c>
      <c r="I81" s="64">
        <f>IF('Expenses Summary'!$D35="","",IF('Cash Flow %s Yr1'!I81="","",'Cash Flow %s Yr1'!I81*'Expenses Summary'!$D35))</f>
        <v>568.13499999999999</v>
      </c>
      <c r="J81" s="64">
        <f>IF('Expenses Summary'!$D35="","",IF('Cash Flow %s Yr1'!J81="","",'Cash Flow %s Yr1'!J81*'Expenses Summary'!$D35))</f>
        <v>568.13499999999999</v>
      </c>
      <c r="K81" s="64">
        <f>IF('Expenses Summary'!$D35="","",IF('Cash Flow %s Yr1'!K81="","",'Cash Flow %s Yr1'!K81*'Expenses Summary'!$D35))</f>
        <v>568.13499999999999</v>
      </c>
      <c r="L81" s="64">
        <f>IF('Expenses Summary'!$D35="","",IF('Cash Flow %s Yr1'!L81="","",'Cash Flow %s Yr1'!L81*'Expenses Summary'!$D35))</f>
        <v>574.98</v>
      </c>
      <c r="M81" s="64">
        <f>IF('Expenses Summary'!$D35="","",IF('Cash Flow %s Yr1'!M81="","",'Cash Flow %s Yr1'!M81*'Expenses Summary'!$D35))</f>
        <v>574.98</v>
      </c>
      <c r="N81" s="64">
        <f>IF('Expenses Summary'!$D35="","",IF('Cash Flow %s Yr1'!N81="","",'Cash Flow %s Yr1'!N81*'Expenses Summary'!$D35))</f>
        <v>574.98</v>
      </c>
      <c r="O81" s="64">
        <f>IF('Expenses Summary'!$D35="","",IF('Cash Flow %s Yr1'!O81="","",'Cash Flow %s Yr1'!O81*'Expenses Summary'!$D35))</f>
        <v>574.98</v>
      </c>
      <c r="P81" s="129"/>
      <c r="Q81" s="129"/>
      <c r="R81" s="129"/>
      <c r="S81" s="111">
        <f>IF(SUM(D81:R81)&gt;0,SUM(D81:R81)/'Expenses Summary'!$D35,"")</f>
        <v>1</v>
      </c>
    </row>
    <row r="82" spans="1:19" s="31" customFormat="1" x14ac:dyDescent="0.2">
      <c r="A82" s="36"/>
      <c r="B82" s="67" t="str">
        <f>'Expenses Summary'!B36</f>
        <v>3323</v>
      </c>
      <c r="C82" s="67" t="str">
        <f>'Expenses Summary'!C36</f>
        <v>Medicare</v>
      </c>
      <c r="D82" s="64">
        <f>IF('Expenses Summary'!$D36="","",IF('Cash Flow %s Yr1'!D82="","",'Cash Flow %s Yr1'!D82*'Expenses Summary'!$D36))</f>
        <v>398.23400000000004</v>
      </c>
      <c r="E82" s="64">
        <f>IF('Expenses Summary'!$D36="","",IF('Cash Flow %s Yr1'!E82="","",'Cash Flow %s Yr1'!E82*'Expenses Summary'!$D36))</f>
        <v>398.23400000000004</v>
      </c>
      <c r="F82" s="64">
        <f>IF('Expenses Summary'!$D36="","",IF('Cash Flow %s Yr1'!F82="","",'Cash Flow %s Yr1'!F82*'Expenses Summary'!$D36))</f>
        <v>398.23400000000004</v>
      </c>
      <c r="G82" s="64">
        <f>IF('Expenses Summary'!$D36="","",IF('Cash Flow %s Yr1'!G82="","",'Cash Flow %s Yr1'!G82*'Expenses Summary'!$D36))</f>
        <v>398.23400000000004</v>
      </c>
      <c r="H82" s="64">
        <f>IF('Expenses Summary'!$D36="","",IF('Cash Flow %s Yr1'!H82="","",'Cash Flow %s Yr1'!H82*'Expenses Summary'!$D36))</f>
        <v>398.23400000000004</v>
      </c>
      <c r="I82" s="64">
        <f>IF('Expenses Summary'!$D36="","",IF('Cash Flow %s Yr1'!I82="","",'Cash Flow %s Yr1'!I82*'Expenses Summary'!$D36))</f>
        <v>398.23400000000004</v>
      </c>
      <c r="J82" s="64">
        <f>IF('Expenses Summary'!$D36="","",IF('Cash Flow %s Yr1'!J82="","",'Cash Flow %s Yr1'!J82*'Expenses Summary'!$D36))</f>
        <v>398.23400000000004</v>
      </c>
      <c r="K82" s="64">
        <f>IF('Expenses Summary'!$D36="","",IF('Cash Flow %s Yr1'!K82="","",'Cash Flow %s Yr1'!K82*'Expenses Summary'!$D36))</f>
        <v>398.23400000000004</v>
      </c>
      <c r="L82" s="64">
        <f>IF('Expenses Summary'!$D36="","",IF('Cash Flow %s Yr1'!L82="","",'Cash Flow %s Yr1'!L82*'Expenses Summary'!$D36))</f>
        <v>403.03200000000004</v>
      </c>
      <c r="M82" s="64">
        <f>IF('Expenses Summary'!$D36="","",IF('Cash Flow %s Yr1'!M82="","",'Cash Flow %s Yr1'!M82*'Expenses Summary'!$D36))</f>
        <v>403.03200000000004</v>
      </c>
      <c r="N82" s="64">
        <f>IF('Expenses Summary'!$D36="","",IF('Cash Flow %s Yr1'!N82="","",'Cash Flow %s Yr1'!N82*'Expenses Summary'!$D36))</f>
        <v>403.03200000000004</v>
      </c>
      <c r="O82" s="64">
        <f>IF('Expenses Summary'!$D36="","",IF('Cash Flow %s Yr1'!O82="","",'Cash Flow %s Yr1'!O82*'Expenses Summary'!$D36))</f>
        <v>403.03200000000004</v>
      </c>
      <c r="P82" s="129"/>
      <c r="Q82" s="129"/>
      <c r="R82" s="129"/>
      <c r="S82" s="111">
        <f>IF(SUM(D82:R82)&gt;0,SUM(D82:R82)/'Expenses Summary'!$D36,"")</f>
        <v>1</v>
      </c>
    </row>
    <row r="83" spans="1:19" s="31" customFormat="1" x14ac:dyDescent="0.2">
      <c r="A83" s="36"/>
      <c r="B83" s="67" t="str">
        <f>'Expenses Summary'!B37</f>
        <v>3403</v>
      </c>
      <c r="C83" s="67" t="str">
        <f>'Expenses Summary'!C37</f>
        <v>Health &amp; Welfare Benefits</v>
      </c>
      <c r="D83" s="64">
        <f>IF('Expenses Summary'!$D37="","",IF('Cash Flow %s Yr1'!D83="","",'Cash Flow %s Yr1'!D83*'Expenses Summary'!$D37))</f>
        <v>8609.5069999999996</v>
      </c>
      <c r="E83" s="64">
        <f>IF('Expenses Summary'!$D37="","",IF('Cash Flow %s Yr1'!E83="","",'Cash Flow %s Yr1'!E83*'Expenses Summary'!$D37))</f>
        <v>8609.5069999999996</v>
      </c>
      <c r="F83" s="64">
        <f>IF('Expenses Summary'!$D37="","",IF('Cash Flow %s Yr1'!F83="","",'Cash Flow %s Yr1'!F83*'Expenses Summary'!$D37))</f>
        <v>8609.5069999999996</v>
      </c>
      <c r="G83" s="64">
        <f>IF('Expenses Summary'!$D37="","",IF('Cash Flow %s Yr1'!G83="","",'Cash Flow %s Yr1'!G83*'Expenses Summary'!$D37))</f>
        <v>8609.5069999999996</v>
      </c>
      <c r="H83" s="64">
        <f>IF('Expenses Summary'!$D37="","",IF('Cash Flow %s Yr1'!H83="","",'Cash Flow %s Yr1'!H83*'Expenses Summary'!$D37))</f>
        <v>8609.5069999999996</v>
      </c>
      <c r="I83" s="64">
        <f>IF('Expenses Summary'!$D37="","",IF('Cash Flow %s Yr1'!I83="","",'Cash Flow %s Yr1'!I83*'Expenses Summary'!$D37))</f>
        <v>8609.5069999999996</v>
      </c>
      <c r="J83" s="64">
        <f>IF('Expenses Summary'!$D37="","",IF('Cash Flow %s Yr1'!J83="","",'Cash Flow %s Yr1'!J83*'Expenses Summary'!$D37))</f>
        <v>8609.5069999999996</v>
      </c>
      <c r="K83" s="64">
        <f>IF('Expenses Summary'!$D37="","",IF('Cash Flow %s Yr1'!K83="","",'Cash Flow %s Yr1'!K83*'Expenses Summary'!$D37))</f>
        <v>8609.5069999999996</v>
      </c>
      <c r="L83" s="64">
        <f>IF('Expenses Summary'!$D37="","",IF('Cash Flow %s Yr1'!L83="","",'Cash Flow %s Yr1'!L83*'Expenses Summary'!$D37))</f>
        <v>8713.2360000000008</v>
      </c>
      <c r="M83" s="64">
        <f>IF('Expenses Summary'!$D37="","",IF('Cash Flow %s Yr1'!M83="","",'Cash Flow %s Yr1'!M83*'Expenses Summary'!$D37))</f>
        <v>8713.2360000000008</v>
      </c>
      <c r="N83" s="64">
        <f>IF('Expenses Summary'!$D37="","",IF('Cash Flow %s Yr1'!N83="","",'Cash Flow %s Yr1'!N83*'Expenses Summary'!$D37))</f>
        <v>8713.2360000000008</v>
      </c>
      <c r="O83" s="64">
        <f>IF('Expenses Summary'!$D37="","",IF('Cash Flow %s Yr1'!O83="","",'Cash Flow %s Yr1'!O83*'Expenses Summary'!$D37))</f>
        <v>8713.2360000000008</v>
      </c>
      <c r="P83" s="129"/>
      <c r="Q83" s="129"/>
      <c r="R83" s="129"/>
      <c r="S83" s="111">
        <f>IF(SUM(D83:R83)&gt;0,SUM(D83:R83)/'Expenses Summary'!$D37,"")</f>
        <v>1.0000000000000002</v>
      </c>
    </row>
    <row r="84" spans="1:19" s="31" customFormat="1" x14ac:dyDescent="0.2">
      <c r="A84" s="36"/>
      <c r="B84" s="67" t="str">
        <f>'Expenses Summary'!B38</f>
        <v>3503</v>
      </c>
      <c r="C84" s="67" t="str">
        <f>'Expenses Summary'!C38</f>
        <v>State Unemployment Insurance</v>
      </c>
      <c r="D84" s="64">
        <f>IF('Expenses Summary'!$D38="","",IF('Cash Flow %s Yr1'!D84="","",'Cash Flow %s Yr1'!D84*'Expenses Summary'!$D38))</f>
        <v>309.09200000000004</v>
      </c>
      <c r="E84" s="64">
        <f>IF('Expenses Summary'!$D38="","",IF('Cash Flow %s Yr1'!E84="","",'Cash Flow %s Yr1'!E84*'Expenses Summary'!$D38))</f>
        <v>309.09200000000004</v>
      </c>
      <c r="F84" s="64">
        <f>IF('Expenses Summary'!$D38="","",IF('Cash Flow %s Yr1'!F84="","",'Cash Flow %s Yr1'!F84*'Expenses Summary'!$D38))</f>
        <v>309.09200000000004</v>
      </c>
      <c r="G84" s="64">
        <f>IF('Expenses Summary'!$D38="","",IF('Cash Flow %s Yr1'!G84="","",'Cash Flow %s Yr1'!G84*'Expenses Summary'!$D38))</f>
        <v>309.09200000000004</v>
      </c>
      <c r="H84" s="64">
        <f>IF('Expenses Summary'!$D38="","",IF('Cash Flow %s Yr1'!H84="","",'Cash Flow %s Yr1'!H84*'Expenses Summary'!$D38))</f>
        <v>309.09200000000004</v>
      </c>
      <c r="I84" s="64">
        <f>IF('Expenses Summary'!$D38="","",IF('Cash Flow %s Yr1'!I84="","",'Cash Flow %s Yr1'!I84*'Expenses Summary'!$D38))</f>
        <v>309.09200000000004</v>
      </c>
      <c r="J84" s="64">
        <f>IF('Expenses Summary'!$D38="","",IF('Cash Flow %s Yr1'!J84="","",'Cash Flow %s Yr1'!J84*'Expenses Summary'!$D38))</f>
        <v>309.09200000000004</v>
      </c>
      <c r="K84" s="64">
        <f>IF('Expenses Summary'!$D38="","",IF('Cash Flow %s Yr1'!K84="","",'Cash Flow %s Yr1'!K84*'Expenses Summary'!$D38))</f>
        <v>309.09200000000004</v>
      </c>
      <c r="L84" s="64">
        <f>IF('Expenses Summary'!$D38="","",IF('Cash Flow %s Yr1'!L84="","",'Cash Flow %s Yr1'!L84*'Expenses Summary'!$D38))</f>
        <v>312.81600000000003</v>
      </c>
      <c r="M84" s="64">
        <f>IF('Expenses Summary'!$D38="","",IF('Cash Flow %s Yr1'!M84="","",'Cash Flow %s Yr1'!M84*'Expenses Summary'!$D38))</f>
        <v>312.81600000000003</v>
      </c>
      <c r="N84" s="64">
        <f>IF('Expenses Summary'!$D38="","",IF('Cash Flow %s Yr1'!N84="","",'Cash Flow %s Yr1'!N84*'Expenses Summary'!$D38))</f>
        <v>312.81600000000003</v>
      </c>
      <c r="O84" s="64">
        <f>IF('Expenses Summary'!$D38="","",IF('Cash Flow %s Yr1'!O84="","",'Cash Flow %s Yr1'!O84*'Expenses Summary'!$D38))</f>
        <v>312.81600000000003</v>
      </c>
      <c r="P84" s="129"/>
      <c r="Q84" s="129"/>
      <c r="R84" s="129"/>
      <c r="S84" s="111">
        <f>IF(SUM(D84:R84)&gt;0,SUM(D84:R84)/'Expenses Summary'!$D38,"")</f>
        <v>1</v>
      </c>
    </row>
    <row r="85" spans="1:19" s="31" customFormat="1" x14ac:dyDescent="0.2">
      <c r="A85" s="36"/>
      <c r="B85" s="67" t="str">
        <f>'Expenses Summary'!B39</f>
        <v>3603</v>
      </c>
      <c r="C85" s="67" t="str">
        <f>'Expenses Summary'!C39</f>
        <v>Worker Compensation Insurance</v>
      </c>
      <c r="D85" s="64">
        <f>IF('Expenses Summary'!$D39="","",IF('Cash Flow %s Yr1'!D85="","",'Cash Flow %s Yr1'!D85*'Expenses Summary'!$D39))</f>
        <v>342.209</v>
      </c>
      <c r="E85" s="64">
        <f>IF('Expenses Summary'!$D39="","",IF('Cash Flow %s Yr1'!E85="","",'Cash Flow %s Yr1'!E85*'Expenses Summary'!$D39))</f>
        <v>342.209</v>
      </c>
      <c r="F85" s="64">
        <f>IF('Expenses Summary'!$D39="","",IF('Cash Flow %s Yr1'!F85="","",'Cash Flow %s Yr1'!F85*'Expenses Summary'!$D39))</f>
        <v>342.209</v>
      </c>
      <c r="G85" s="64">
        <f>IF('Expenses Summary'!$D39="","",IF('Cash Flow %s Yr1'!G85="","",'Cash Flow %s Yr1'!G85*'Expenses Summary'!$D39))</f>
        <v>342.209</v>
      </c>
      <c r="H85" s="64">
        <f>IF('Expenses Summary'!$D39="","",IF('Cash Flow %s Yr1'!H85="","",'Cash Flow %s Yr1'!H85*'Expenses Summary'!$D39))</f>
        <v>342.209</v>
      </c>
      <c r="I85" s="64">
        <f>IF('Expenses Summary'!$D39="","",IF('Cash Flow %s Yr1'!I85="","",'Cash Flow %s Yr1'!I85*'Expenses Summary'!$D39))</f>
        <v>342.209</v>
      </c>
      <c r="J85" s="64">
        <f>IF('Expenses Summary'!$D39="","",IF('Cash Flow %s Yr1'!J85="","",'Cash Flow %s Yr1'!J85*'Expenses Summary'!$D39))</f>
        <v>342.209</v>
      </c>
      <c r="K85" s="64">
        <f>IF('Expenses Summary'!$D39="","",IF('Cash Flow %s Yr1'!K85="","",'Cash Flow %s Yr1'!K85*'Expenses Summary'!$D39))</f>
        <v>342.209</v>
      </c>
      <c r="L85" s="64">
        <f>IF('Expenses Summary'!$D39="","",IF('Cash Flow %s Yr1'!L85="","",'Cash Flow %s Yr1'!L85*'Expenses Summary'!$D39))</f>
        <v>346.33199999999999</v>
      </c>
      <c r="M85" s="64">
        <f>IF('Expenses Summary'!$D39="","",IF('Cash Flow %s Yr1'!M85="","",'Cash Flow %s Yr1'!M85*'Expenses Summary'!$D39))</f>
        <v>346.33199999999999</v>
      </c>
      <c r="N85" s="64">
        <f>IF('Expenses Summary'!$D39="","",IF('Cash Flow %s Yr1'!N85="","",'Cash Flow %s Yr1'!N85*'Expenses Summary'!$D39))</f>
        <v>346.33199999999999</v>
      </c>
      <c r="O85" s="64">
        <f>IF('Expenses Summary'!$D39="","",IF('Cash Flow %s Yr1'!O85="","",'Cash Flow %s Yr1'!O85*'Expenses Summary'!$D39))</f>
        <v>346.33199999999999</v>
      </c>
      <c r="P85" s="129"/>
      <c r="Q85" s="129"/>
      <c r="R85" s="129"/>
      <c r="S85" s="111">
        <f>IF(SUM(D85:R85)&gt;0,SUM(D85:R85)/'Expenses Summary'!$D39,"")</f>
        <v>0.99999999999999978</v>
      </c>
    </row>
    <row r="86" spans="1:19" s="31" customFormat="1" x14ac:dyDescent="0.2">
      <c r="A86" s="36"/>
      <c r="B86" s="67" t="str">
        <f>'Expenses Summary'!B40</f>
        <v>3703</v>
      </c>
      <c r="C86" s="67" t="str">
        <f>'Expenses Summary'!C40</f>
        <v>Other Post Employement Benefits</v>
      </c>
      <c r="D86" s="64">
        <f>IF('Expenses Summary'!$D40="","",IF('Cash Flow %s Yr1'!D86="","",'Cash Flow %s Yr1'!D86*'Expenses Summary'!$D40))</f>
        <v>0</v>
      </c>
      <c r="E86" s="64">
        <f>IF('Expenses Summary'!$D40="","",IF('Cash Flow %s Yr1'!E86="","",'Cash Flow %s Yr1'!E86*'Expenses Summary'!$D40))</f>
        <v>0</v>
      </c>
      <c r="F86" s="64">
        <f>IF('Expenses Summary'!$D40="","",IF('Cash Flow %s Yr1'!F86="","",'Cash Flow %s Yr1'!F86*'Expenses Summary'!$D40))</f>
        <v>0</v>
      </c>
      <c r="G86" s="64">
        <f>IF('Expenses Summary'!$D40="","",IF('Cash Flow %s Yr1'!G86="","",'Cash Flow %s Yr1'!G86*'Expenses Summary'!$D40))</f>
        <v>0</v>
      </c>
      <c r="H86" s="64">
        <f>IF('Expenses Summary'!$D40="","",IF('Cash Flow %s Yr1'!H86="","",'Cash Flow %s Yr1'!H86*'Expenses Summary'!$D40))</f>
        <v>0</v>
      </c>
      <c r="I86" s="64">
        <f>IF('Expenses Summary'!$D40="","",IF('Cash Flow %s Yr1'!I86="","",'Cash Flow %s Yr1'!I86*'Expenses Summary'!$D40))</f>
        <v>0</v>
      </c>
      <c r="J86" s="64">
        <f>IF('Expenses Summary'!$D40="","",IF('Cash Flow %s Yr1'!J86="","",'Cash Flow %s Yr1'!J86*'Expenses Summary'!$D40))</f>
        <v>0</v>
      </c>
      <c r="K86" s="64">
        <f>IF('Expenses Summary'!$D40="","",IF('Cash Flow %s Yr1'!K86="","",'Cash Flow %s Yr1'!K86*'Expenses Summary'!$D40))</f>
        <v>0</v>
      </c>
      <c r="L86" s="64">
        <f>IF('Expenses Summary'!$D40="","",IF('Cash Flow %s Yr1'!L86="","",'Cash Flow %s Yr1'!L86*'Expenses Summary'!$D40))</f>
        <v>0</v>
      </c>
      <c r="M86" s="64">
        <f>IF('Expenses Summary'!$D40="","",IF('Cash Flow %s Yr1'!M86="","",'Cash Flow %s Yr1'!M86*'Expenses Summary'!$D40))</f>
        <v>0</v>
      </c>
      <c r="N86" s="64">
        <f>IF('Expenses Summary'!$D40="","",IF('Cash Flow %s Yr1'!N86="","",'Cash Flow %s Yr1'!N86*'Expenses Summary'!$D40))</f>
        <v>0</v>
      </c>
      <c r="O86" s="64">
        <f>IF('Expenses Summary'!$D40="","",IF('Cash Flow %s Yr1'!O86="","",'Cash Flow %s Yr1'!O86*'Expenses Summary'!$D40))</f>
        <v>0</v>
      </c>
      <c r="P86" s="129"/>
      <c r="Q86" s="129"/>
      <c r="R86" s="129"/>
      <c r="S86" s="111" t="str">
        <f>IF(SUM(D86:R86)&gt;0,SUM(D86:R86)/'Expenses Summary'!$D40,"")</f>
        <v/>
      </c>
    </row>
    <row r="87" spans="1:19" s="31" customFormat="1" x14ac:dyDescent="0.2">
      <c r="A87" s="36"/>
      <c r="B87" s="67" t="str">
        <f>'Expenses Summary'!B41</f>
        <v>3903</v>
      </c>
      <c r="C87" s="67" t="str">
        <f>'Expenses Summary'!C41</f>
        <v>Other Benefits</v>
      </c>
      <c r="D87" s="64">
        <f>IF('Expenses Summary'!$D41="","",IF('Cash Flow %s Yr1'!D87="","",'Cash Flow %s Yr1'!D87*'Expenses Summary'!$D41))</f>
        <v>0</v>
      </c>
      <c r="E87" s="64">
        <f>IF('Expenses Summary'!$D41="","",IF('Cash Flow %s Yr1'!E87="","",'Cash Flow %s Yr1'!E87*'Expenses Summary'!$D41))</f>
        <v>0</v>
      </c>
      <c r="F87" s="64">
        <f>IF('Expenses Summary'!$D41="","",IF('Cash Flow %s Yr1'!F87="","",'Cash Flow %s Yr1'!F87*'Expenses Summary'!$D41))</f>
        <v>0</v>
      </c>
      <c r="G87" s="64">
        <f>IF('Expenses Summary'!$D41="","",IF('Cash Flow %s Yr1'!G87="","",'Cash Flow %s Yr1'!G87*'Expenses Summary'!$D41))</f>
        <v>0</v>
      </c>
      <c r="H87" s="64">
        <f>IF('Expenses Summary'!$D41="","",IF('Cash Flow %s Yr1'!H87="","",'Cash Flow %s Yr1'!H87*'Expenses Summary'!$D41))</f>
        <v>0</v>
      </c>
      <c r="I87" s="64">
        <f>IF('Expenses Summary'!$D41="","",IF('Cash Flow %s Yr1'!I87="","",'Cash Flow %s Yr1'!I87*'Expenses Summary'!$D41))</f>
        <v>0</v>
      </c>
      <c r="J87" s="64">
        <f>IF('Expenses Summary'!$D41="","",IF('Cash Flow %s Yr1'!J87="","",'Cash Flow %s Yr1'!J87*'Expenses Summary'!$D41))</f>
        <v>0</v>
      </c>
      <c r="K87" s="64">
        <f>IF('Expenses Summary'!$D41="","",IF('Cash Flow %s Yr1'!K87="","",'Cash Flow %s Yr1'!K87*'Expenses Summary'!$D41))</f>
        <v>0</v>
      </c>
      <c r="L87" s="64">
        <f>IF('Expenses Summary'!$D41="","",IF('Cash Flow %s Yr1'!L87="","",'Cash Flow %s Yr1'!L87*'Expenses Summary'!$D41))</f>
        <v>0</v>
      </c>
      <c r="M87" s="64">
        <f>IF('Expenses Summary'!$D41="","",IF('Cash Flow %s Yr1'!M87="","",'Cash Flow %s Yr1'!M87*'Expenses Summary'!$D41))</f>
        <v>0</v>
      </c>
      <c r="N87" s="64">
        <f>IF('Expenses Summary'!$D41="","",IF('Cash Flow %s Yr1'!N87="","",'Cash Flow %s Yr1'!N87*'Expenses Summary'!$D41))</f>
        <v>0</v>
      </c>
      <c r="O87" s="64">
        <f>IF('Expenses Summary'!$D41="","",IF('Cash Flow %s Yr1'!O87="","",'Cash Flow %s Yr1'!O87*'Expenses Summary'!$D41))</f>
        <v>0</v>
      </c>
      <c r="P87" s="129"/>
      <c r="Q87" s="129"/>
      <c r="R87" s="129"/>
      <c r="S87" s="111" t="str">
        <f>IF(SUM(D87:R87)&gt;0,SUM(D87:R87)/'Expenses Summary'!$D41,"")</f>
        <v/>
      </c>
    </row>
    <row r="88" spans="1:19" s="31" customFormat="1" x14ac:dyDescent="0.2">
      <c r="A88" s="36"/>
      <c r="B88" s="43" t="s">
        <v>739</v>
      </c>
      <c r="C88" s="34" t="s">
        <v>721</v>
      </c>
      <c r="D88" s="172">
        <f t="shared" ref="D88:O88" si="8">IF(SUM(D78:D87)&gt;0,SUM(D78:D87),"")</f>
        <v>12617.162</v>
      </c>
      <c r="E88" s="172">
        <f t="shared" si="8"/>
        <v>12617.162</v>
      </c>
      <c r="F88" s="172">
        <f t="shared" si="8"/>
        <v>12617.162</v>
      </c>
      <c r="G88" s="172">
        <f t="shared" si="8"/>
        <v>12617.162</v>
      </c>
      <c r="H88" s="172">
        <f t="shared" si="8"/>
        <v>12617.162</v>
      </c>
      <c r="I88" s="172">
        <f t="shared" si="8"/>
        <v>12617.162</v>
      </c>
      <c r="J88" s="172">
        <f t="shared" si="8"/>
        <v>12617.162</v>
      </c>
      <c r="K88" s="172">
        <f t="shared" si="8"/>
        <v>12617.162</v>
      </c>
      <c r="L88" s="172">
        <f t="shared" si="8"/>
        <v>12769.176000000003</v>
      </c>
      <c r="M88" s="172">
        <f t="shared" si="8"/>
        <v>12769.176000000003</v>
      </c>
      <c r="N88" s="172">
        <f t="shared" si="8"/>
        <v>12769.176000000003</v>
      </c>
      <c r="O88" s="172">
        <f t="shared" si="8"/>
        <v>12769.176000000003</v>
      </c>
      <c r="P88" s="100"/>
      <c r="Q88" s="100"/>
      <c r="R88" s="100"/>
      <c r="S88" s="111"/>
    </row>
    <row r="89" spans="1:19" s="31" customFormat="1" x14ac:dyDescent="0.2">
      <c r="A89" s="36"/>
      <c r="B89" s="40"/>
      <c r="C89" s="1"/>
      <c r="D89" s="95"/>
      <c r="E89" s="95"/>
      <c r="F89" s="95"/>
      <c r="G89" s="95"/>
      <c r="H89" s="95"/>
      <c r="I89" s="95"/>
      <c r="J89" s="95"/>
      <c r="K89" s="95"/>
      <c r="L89" s="95"/>
      <c r="M89" s="95"/>
      <c r="N89" s="95"/>
      <c r="O89" s="95"/>
      <c r="P89" s="95"/>
      <c r="Q89" s="95"/>
      <c r="R89" s="95"/>
    </row>
    <row r="90" spans="1:19" s="31" customFormat="1" x14ac:dyDescent="0.2">
      <c r="B90" s="34" t="s">
        <v>678</v>
      </c>
      <c r="C90" s="3"/>
      <c r="D90" s="95"/>
      <c r="E90" s="95"/>
      <c r="F90" s="95"/>
      <c r="G90" s="95"/>
      <c r="H90" s="95"/>
      <c r="I90" s="95"/>
      <c r="J90" s="95"/>
      <c r="K90" s="95"/>
      <c r="L90" s="95"/>
      <c r="M90" s="95"/>
      <c r="N90" s="95"/>
      <c r="O90" s="95"/>
      <c r="P90" s="95"/>
      <c r="Q90" s="95"/>
      <c r="R90" s="95"/>
    </row>
    <row r="91" spans="1:19" s="31" customFormat="1" x14ac:dyDescent="0.2">
      <c r="A91" s="36"/>
      <c r="B91" s="139" t="str">
        <f>'Expenses Summary'!B47</f>
        <v>4100</v>
      </c>
      <c r="C91" s="139" t="str">
        <f>'Expenses Summary'!C47</f>
        <v>Approved Textbooks and Core Curricula Materials</v>
      </c>
      <c r="D91" s="64" t="str">
        <f>IF('Expenses Summary'!$D47="","",IF('Cash Flow %s Yr1'!D91="","",'Cash Flow %s Yr1'!D91*'Expenses Summary'!$D47))</f>
        <v/>
      </c>
      <c r="E91" s="64" t="str">
        <f>IF('Expenses Summary'!$D47="","",IF('Cash Flow %s Yr1'!E91="","",'Cash Flow %s Yr1'!E91*'Expenses Summary'!$D47))</f>
        <v/>
      </c>
      <c r="F91" s="64" t="str">
        <f>IF('Expenses Summary'!$D47="","",IF('Cash Flow %s Yr1'!F91="","",'Cash Flow %s Yr1'!F91*'Expenses Summary'!$D47))</f>
        <v/>
      </c>
      <c r="G91" s="64" t="str">
        <f>IF('Expenses Summary'!$D47="","",IF('Cash Flow %s Yr1'!G91="","",'Cash Flow %s Yr1'!G91*'Expenses Summary'!$D47))</f>
        <v/>
      </c>
      <c r="H91" s="64">
        <f>IF('Expenses Summary'!$D47="","",IF('Cash Flow %s Yr1'!H91="","",'Cash Flow %s Yr1'!H91*'Expenses Summary'!$D47))</f>
        <v>6726.25</v>
      </c>
      <c r="I91" s="64">
        <f>IF('Expenses Summary'!$D47="","",IF('Cash Flow %s Yr1'!I91="","",'Cash Flow %s Yr1'!I91*'Expenses Summary'!$D47))</f>
        <v>6726.25</v>
      </c>
      <c r="J91" s="64">
        <f>IF('Expenses Summary'!$D47="","",IF('Cash Flow %s Yr1'!J91="","",'Cash Flow %s Yr1'!J91*'Expenses Summary'!$D47))</f>
        <v>6726.25</v>
      </c>
      <c r="K91" s="64" t="str">
        <f>IF('Expenses Summary'!$D47="","",IF('Cash Flow %s Yr1'!K91="","",'Cash Flow %s Yr1'!K91*'Expenses Summary'!$D47))</f>
        <v/>
      </c>
      <c r="L91" s="64">
        <f>IF('Expenses Summary'!$D47="","",IF('Cash Flow %s Yr1'!L91="","",'Cash Flow %s Yr1'!L91*'Expenses Summary'!$D47))</f>
        <v>6726.25</v>
      </c>
      <c r="M91" s="64" t="str">
        <f>IF('Expenses Summary'!$D47="","",IF('Cash Flow %s Yr1'!M91="","",'Cash Flow %s Yr1'!M91*'Expenses Summary'!$D47))</f>
        <v/>
      </c>
      <c r="N91" s="64" t="str">
        <f>IF('Expenses Summary'!$D47="","",IF('Cash Flow %s Yr1'!N91="","",'Cash Flow %s Yr1'!N91*'Expenses Summary'!$D47))</f>
        <v/>
      </c>
      <c r="O91" s="64" t="str">
        <f>IF('Expenses Summary'!$D47="","",IF('Cash Flow %s Yr1'!O91="","",'Cash Flow %s Yr1'!O91*'Expenses Summary'!$D47))</f>
        <v/>
      </c>
      <c r="P91" s="129"/>
      <c r="Q91" s="129"/>
      <c r="R91" s="129"/>
      <c r="S91" s="111">
        <f>IF(SUM(D91:R91)&gt;0,SUM(D91:R91)/'Expenses Summary'!$D47,"")</f>
        <v>1</v>
      </c>
    </row>
    <row r="92" spans="1:19" x14ac:dyDescent="0.2">
      <c r="A92" s="36"/>
      <c r="B92" s="139" t="str">
        <f>'Expenses Summary'!B48</f>
        <v>4200</v>
      </c>
      <c r="C92" s="139" t="str">
        <f>'Expenses Summary'!C48</f>
        <v>Books and Other Reference Materials</v>
      </c>
      <c r="D92" s="64" t="str">
        <f>IF('Expenses Summary'!$D48="","",IF('Cash Flow %s Yr1'!D92="","",'Cash Flow %s Yr1'!D92*'Expenses Summary'!$D48))</f>
        <v/>
      </c>
      <c r="E92" s="64" t="str">
        <f>IF('Expenses Summary'!$D48="","",IF('Cash Flow %s Yr1'!E92="","",'Cash Flow %s Yr1'!E92*'Expenses Summary'!$D48))</f>
        <v/>
      </c>
      <c r="F92" s="64" t="str">
        <f>IF('Expenses Summary'!$D48="","",IF('Cash Flow %s Yr1'!F92="","",'Cash Flow %s Yr1'!F92*'Expenses Summary'!$D48))</f>
        <v/>
      </c>
      <c r="G92" s="64" t="str">
        <f>IF('Expenses Summary'!$D48="","",IF('Cash Flow %s Yr1'!G92="","",'Cash Flow %s Yr1'!G92*'Expenses Summary'!$D48))</f>
        <v/>
      </c>
      <c r="H92" s="64">
        <f>IF('Expenses Summary'!$D48="","",IF('Cash Flow %s Yr1'!H92="","",'Cash Flow %s Yr1'!H92*'Expenses Summary'!$D48))</f>
        <v>517.5</v>
      </c>
      <c r="I92" s="64">
        <f>IF('Expenses Summary'!$D48="","",IF('Cash Flow %s Yr1'!I92="","",'Cash Flow %s Yr1'!I92*'Expenses Summary'!$D48))</f>
        <v>517.5</v>
      </c>
      <c r="J92" s="64">
        <f>IF('Expenses Summary'!$D48="","",IF('Cash Flow %s Yr1'!J92="","",'Cash Flow %s Yr1'!J92*'Expenses Summary'!$D48))</f>
        <v>517.5</v>
      </c>
      <c r="K92" s="64" t="str">
        <f>IF('Expenses Summary'!$D48="","",IF('Cash Flow %s Yr1'!K92="","",'Cash Flow %s Yr1'!K92*'Expenses Summary'!$D48))</f>
        <v/>
      </c>
      <c r="L92" s="64">
        <f>IF('Expenses Summary'!$D48="","",IF('Cash Flow %s Yr1'!L92="","",'Cash Flow %s Yr1'!L92*'Expenses Summary'!$D48))</f>
        <v>517.5</v>
      </c>
      <c r="M92" s="64" t="str">
        <f>IF('Expenses Summary'!$D48="","",IF('Cash Flow %s Yr1'!M92="","",'Cash Flow %s Yr1'!M92*'Expenses Summary'!$D48))</f>
        <v/>
      </c>
      <c r="N92" s="64" t="str">
        <f>IF('Expenses Summary'!$D48="","",IF('Cash Flow %s Yr1'!N92="","",'Cash Flow %s Yr1'!N92*'Expenses Summary'!$D48))</f>
        <v/>
      </c>
      <c r="O92" s="64" t="str">
        <f>IF('Expenses Summary'!$D48="","",IF('Cash Flow %s Yr1'!O92="","",'Cash Flow %s Yr1'!O92*'Expenses Summary'!$D48))</f>
        <v/>
      </c>
      <c r="P92" s="129"/>
      <c r="Q92" s="129"/>
      <c r="R92" s="129"/>
      <c r="S92" s="111">
        <f>IF(SUM(D92:R92)&gt;0,SUM(D92:R92)/'Expenses Summary'!$D48,"")</f>
        <v>1</v>
      </c>
    </row>
    <row r="93" spans="1:19" x14ac:dyDescent="0.2">
      <c r="A93" s="36"/>
      <c r="B93" s="139" t="str">
        <f>'Expenses Summary'!B49</f>
        <v>4300</v>
      </c>
      <c r="C93" s="139" t="str">
        <f>'Expenses Summary'!C49</f>
        <v>Materials and Supplies</v>
      </c>
      <c r="D93" s="64" t="str">
        <f>IF('Expenses Summary'!$D49="","",IF('Cash Flow %s Yr1'!D93="","",'Cash Flow %s Yr1'!D93*'Expenses Summary'!$D49))</f>
        <v/>
      </c>
      <c r="E93" s="64" t="str">
        <f>IF('Expenses Summary'!$D49="","",IF('Cash Flow %s Yr1'!E93="","",'Cash Flow %s Yr1'!E93*'Expenses Summary'!$D49))</f>
        <v/>
      </c>
      <c r="F93" s="64">
        <f>IF('Expenses Summary'!$D49="","",IF('Cash Flow %s Yr1'!F93="","",'Cash Flow %s Yr1'!F93*'Expenses Summary'!$D49))</f>
        <v>1616.1</v>
      </c>
      <c r="G93" s="64" t="str">
        <f>IF('Expenses Summary'!$D49="","",IF('Cash Flow %s Yr1'!G93="","",'Cash Flow %s Yr1'!G93*'Expenses Summary'!$D49))</f>
        <v/>
      </c>
      <c r="H93" s="64">
        <f>IF('Expenses Summary'!$D49="","",IF('Cash Flow %s Yr1'!H93="","",'Cash Flow %s Yr1'!H93*'Expenses Summary'!$D49))</f>
        <v>1616.1</v>
      </c>
      <c r="I93" s="64" t="str">
        <f>IF('Expenses Summary'!$D49="","",IF('Cash Flow %s Yr1'!I93="","",'Cash Flow %s Yr1'!I93*'Expenses Summary'!$D49))</f>
        <v/>
      </c>
      <c r="J93" s="64">
        <f>IF('Expenses Summary'!$D49="","",IF('Cash Flow %s Yr1'!J93="","",'Cash Flow %s Yr1'!J93*'Expenses Summary'!$D49))</f>
        <v>1616.1</v>
      </c>
      <c r="K93" s="64" t="str">
        <f>IF('Expenses Summary'!$D49="","",IF('Cash Flow %s Yr1'!K93="","",'Cash Flow %s Yr1'!K93*'Expenses Summary'!$D49))</f>
        <v/>
      </c>
      <c r="L93" s="64">
        <f>IF('Expenses Summary'!$D49="","",IF('Cash Flow %s Yr1'!L93="","",'Cash Flow %s Yr1'!L93*'Expenses Summary'!$D49))</f>
        <v>538.70000000000005</v>
      </c>
      <c r="M93" s="64" t="str">
        <f>IF('Expenses Summary'!$D49="","",IF('Cash Flow %s Yr1'!M93="","",'Cash Flow %s Yr1'!M93*'Expenses Summary'!$D49))</f>
        <v/>
      </c>
      <c r="N93" s="64" t="str">
        <f>IF('Expenses Summary'!$D49="","",IF('Cash Flow %s Yr1'!N93="","",'Cash Flow %s Yr1'!N93*'Expenses Summary'!$D49))</f>
        <v/>
      </c>
      <c r="O93" s="64" t="str">
        <f>IF('Expenses Summary'!$D49="","",IF('Cash Flow %s Yr1'!O93="","",'Cash Flow %s Yr1'!O93*'Expenses Summary'!$D49))</f>
        <v/>
      </c>
      <c r="P93" s="129"/>
      <c r="Q93" s="129"/>
      <c r="R93" s="129"/>
      <c r="S93" s="111">
        <f>IF(SUM(D93:R93)&gt;0,SUM(D93:R93)/'Expenses Summary'!$D49,"")</f>
        <v>0.99999999999999978</v>
      </c>
    </row>
    <row r="94" spans="1:19" x14ac:dyDescent="0.2">
      <c r="A94" s="36"/>
      <c r="B94" s="139" t="str">
        <f>'Expenses Summary'!B50</f>
        <v>4315</v>
      </c>
      <c r="C94" s="139" t="str">
        <f>'Expenses Summary'!C50</f>
        <v>Classroom Materials and Supplies</v>
      </c>
      <c r="D94" s="64" t="str">
        <f>IF('Expenses Summary'!$D50="","",IF('Cash Flow %s Yr1'!D94="","",'Cash Flow %s Yr1'!D94*'Expenses Summary'!$D50))</f>
        <v/>
      </c>
      <c r="E94" s="64" t="str">
        <f>IF('Expenses Summary'!$D50="","",IF('Cash Flow %s Yr1'!E94="","",'Cash Flow %s Yr1'!E94*'Expenses Summary'!$D50))</f>
        <v/>
      </c>
      <c r="F94" s="64">
        <f>IF('Expenses Summary'!$D50="","",IF('Cash Flow %s Yr1'!F94="","",'Cash Flow %s Yr1'!F94*'Expenses Summary'!$D50))</f>
        <v>351.20000000000005</v>
      </c>
      <c r="G94" s="64">
        <f>IF('Expenses Summary'!$D50="","",IF('Cash Flow %s Yr1'!G94="","",'Cash Flow %s Yr1'!G94*'Expenses Summary'!$D50))</f>
        <v>351.20000000000005</v>
      </c>
      <c r="H94" s="64">
        <f>IF('Expenses Summary'!$D50="","",IF('Cash Flow %s Yr1'!H94="","",'Cash Flow %s Yr1'!H94*'Expenses Summary'!$D50))</f>
        <v>702.40000000000009</v>
      </c>
      <c r="I94" s="64">
        <f>IF('Expenses Summary'!$D50="","",IF('Cash Flow %s Yr1'!I94="","",'Cash Flow %s Yr1'!I94*'Expenses Summary'!$D50))</f>
        <v>351.20000000000005</v>
      </c>
      <c r="J94" s="64">
        <f>IF('Expenses Summary'!$D50="","",IF('Cash Flow %s Yr1'!J94="","",'Cash Flow %s Yr1'!J94*'Expenses Summary'!$D50))</f>
        <v>702.40000000000009</v>
      </c>
      <c r="K94" s="64">
        <f>IF('Expenses Summary'!$D50="","",IF('Cash Flow %s Yr1'!K94="","",'Cash Flow %s Yr1'!K94*'Expenses Summary'!$D50))</f>
        <v>351.20000000000005</v>
      </c>
      <c r="L94" s="64">
        <f>IF('Expenses Summary'!$D50="","",IF('Cash Flow %s Yr1'!L94="","",'Cash Flow %s Yr1'!L94*'Expenses Summary'!$D50))</f>
        <v>351.20000000000005</v>
      </c>
      <c r="M94" s="64">
        <f>IF('Expenses Summary'!$D50="","",IF('Cash Flow %s Yr1'!M94="","",'Cash Flow %s Yr1'!M94*'Expenses Summary'!$D50))</f>
        <v>351.20000000000005</v>
      </c>
      <c r="N94" s="64" t="str">
        <f>IF('Expenses Summary'!$D50="","",IF('Cash Flow %s Yr1'!N94="","",'Cash Flow %s Yr1'!N94*'Expenses Summary'!$D50))</f>
        <v/>
      </c>
      <c r="O94" s="64" t="str">
        <f>IF('Expenses Summary'!$D50="","",IF('Cash Flow %s Yr1'!O94="","",'Cash Flow %s Yr1'!O94*'Expenses Summary'!$D50))</f>
        <v/>
      </c>
      <c r="P94" s="129"/>
      <c r="Q94" s="129"/>
      <c r="R94" s="129"/>
      <c r="S94" s="111">
        <f>IF(SUM(D94:R94)&gt;0,SUM(D94:R94)/'Expenses Summary'!$D50,"")</f>
        <v>1</v>
      </c>
    </row>
    <row r="95" spans="1:19" x14ac:dyDescent="0.2">
      <c r="A95" s="36"/>
      <c r="B95" s="139" t="str">
        <f>'Expenses Summary'!B51</f>
        <v>4400</v>
      </c>
      <c r="C95" s="139" t="str">
        <f>'Expenses Summary'!C51</f>
        <v>Noncapitalized Equipment</v>
      </c>
      <c r="D95" s="64">
        <f>IF('Expenses Summary'!$D51="","",IF('Cash Flow %s Yr1'!D95="","",'Cash Flow %s Yr1'!D95*'Expenses Summary'!$D51))</f>
        <v>323.36799999999999</v>
      </c>
      <c r="E95" s="64">
        <f>IF('Expenses Summary'!$D51="","",IF('Cash Flow %s Yr1'!E95="","",'Cash Flow %s Yr1'!E95*'Expenses Summary'!$D51))</f>
        <v>323.36799999999999</v>
      </c>
      <c r="F95" s="64">
        <f>IF('Expenses Summary'!$D51="","",IF('Cash Flow %s Yr1'!F95="","",'Cash Flow %s Yr1'!F95*'Expenses Summary'!$D51))</f>
        <v>323.36799999999999</v>
      </c>
      <c r="G95" s="64">
        <f>IF('Expenses Summary'!$D51="","",IF('Cash Flow %s Yr1'!G95="","",'Cash Flow %s Yr1'!G95*'Expenses Summary'!$D51))</f>
        <v>323.36799999999999</v>
      </c>
      <c r="H95" s="64">
        <f>IF('Expenses Summary'!$D51="","",IF('Cash Flow %s Yr1'!H95="","",'Cash Flow %s Yr1'!H95*'Expenses Summary'!$D51))</f>
        <v>323.36799999999999</v>
      </c>
      <c r="I95" s="64">
        <f>IF('Expenses Summary'!$D51="","",IF('Cash Flow %s Yr1'!I95="","",'Cash Flow %s Yr1'!I95*'Expenses Summary'!$D51))</f>
        <v>323.36799999999999</v>
      </c>
      <c r="J95" s="64">
        <f>IF('Expenses Summary'!$D51="","",IF('Cash Flow %s Yr1'!J95="","",'Cash Flow %s Yr1'!J95*'Expenses Summary'!$D51))</f>
        <v>323.36799999999999</v>
      </c>
      <c r="K95" s="64">
        <f>IF('Expenses Summary'!$D51="","",IF('Cash Flow %s Yr1'!K95="","",'Cash Flow %s Yr1'!K95*'Expenses Summary'!$D51))</f>
        <v>323.36799999999999</v>
      </c>
      <c r="L95" s="64">
        <f>IF('Expenses Summary'!$D51="","",IF('Cash Flow %s Yr1'!L95="","",'Cash Flow %s Yr1'!L95*'Expenses Summary'!$D51))</f>
        <v>327.26400000000001</v>
      </c>
      <c r="M95" s="64">
        <f>IF('Expenses Summary'!$D51="","",IF('Cash Flow %s Yr1'!M95="","",'Cash Flow %s Yr1'!M95*'Expenses Summary'!$D51))</f>
        <v>327.26400000000001</v>
      </c>
      <c r="N95" s="64">
        <f>IF('Expenses Summary'!$D51="","",IF('Cash Flow %s Yr1'!N95="","",'Cash Flow %s Yr1'!N95*'Expenses Summary'!$D51))</f>
        <v>327.26400000000001</v>
      </c>
      <c r="O95" s="64">
        <f>IF('Expenses Summary'!$D51="","",IF('Cash Flow %s Yr1'!O95="","",'Cash Flow %s Yr1'!O95*'Expenses Summary'!$D51))</f>
        <v>327.26400000000001</v>
      </c>
      <c r="P95" s="129"/>
      <c r="Q95" s="129"/>
      <c r="R95" s="129"/>
      <c r="S95" s="111">
        <f>IF(SUM(D95:R95)&gt;0,SUM(D95:R95)/'Expenses Summary'!$D51,"")</f>
        <v>1.0000000000000002</v>
      </c>
    </row>
    <row r="96" spans="1:19" x14ac:dyDescent="0.2">
      <c r="A96" s="36"/>
      <c r="B96" s="139" t="str">
        <f>'Expenses Summary'!B52</f>
        <v>4430</v>
      </c>
      <c r="C96" s="139" t="str">
        <f>'Expenses Summary'!C52</f>
        <v>General Student Equipment</v>
      </c>
      <c r="D96" s="64" t="str">
        <f>IF('Expenses Summary'!$D52="","",IF('Cash Flow %s Yr1'!D96="","",'Cash Flow %s Yr1'!D96*'Expenses Summary'!$D52))</f>
        <v/>
      </c>
      <c r="E96" s="64" t="str">
        <f>IF('Expenses Summary'!$D52="","",IF('Cash Flow %s Yr1'!E96="","",'Cash Flow %s Yr1'!E96*'Expenses Summary'!$D52))</f>
        <v/>
      </c>
      <c r="F96" s="64">
        <f>IF('Expenses Summary'!$D52="","",IF('Cash Flow %s Yr1'!F96="","",'Cash Flow %s Yr1'!F96*'Expenses Summary'!$D52))</f>
        <v>2406.6</v>
      </c>
      <c r="G96" s="64" t="str">
        <f>IF('Expenses Summary'!$D52="","",IF('Cash Flow %s Yr1'!G96="","",'Cash Flow %s Yr1'!G96*'Expenses Summary'!$D52))</f>
        <v/>
      </c>
      <c r="H96" s="64" t="str">
        <f>IF('Expenses Summary'!$D52="","",IF('Cash Flow %s Yr1'!H96="","",'Cash Flow %s Yr1'!H96*'Expenses Summary'!$D52))</f>
        <v/>
      </c>
      <c r="I96" s="64" t="str">
        <f>IF('Expenses Summary'!$D52="","",IF('Cash Flow %s Yr1'!I96="","",'Cash Flow %s Yr1'!I96*'Expenses Summary'!$D52))</f>
        <v/>
      </c>
      <c r="J96" s="64">
        <f>IF('Expenses Summary'!$D52="","",IF('Cash Flow %s Yr1'!J96="","",'Cash Flow %s Yr1'!J96*'Expenses Summary'!$D52))</f>
        <v>1604.4</v>
      </c>
      <c r="K96" s="64" t="str">
        <f>IF('Expenses Summary'!$D52="","",IF('Cash Flow %s Yr1'!K96="","",'Cash Flow %s Yr1'!K96*'Expenses Summary'!$D52))</f>
        <v/>
      </c>
      <c r="L96" s="64" t="str">
        <f>IF('Expenses Summary'!$D52="","",IF('Cash Flow %s Yr1'!L96="","",'Cash Flow %s Yr1'!L96*'Expenses Summary'!$D52))</f>
        <v/>
      </c>
      <c r="M96" s="64" t="str">
        <f>IF('Expenses Summary'!$D52="","",IF('Cash Flow %s Yr1'!M96="","",'Cash Flow %s Yr1'!M96*'Expenses Summary'!$D52))</f>
        <v/>
      </c>
      <c r="N96" s="64" t="str">
        <f>IF('Expenses Summary'!$D52="","",IF('Cash Flow %s Yr1'!N96="","",'Cash Flow %s Yr1'!N96*'Expenses Summary'!$D52))</f>
        <v/>
      </c>
      <c r="O96" s="64" t="str">
        <f>IF('Expenses Summary'!$D52="","",IF('Cash Flow %s Yr1'!O96="","",'Cash Flow %s Yr1'!O96*'Expenses Summary'!$D52))</f>
        <v/>
      </c>
      <c r="P96" s="129"/>
      <c r="Q96" s="129"/>
      <c r="R96" s="129"/>
      <c r="S96" s="111">
        <f>IF(SUM(D96:R96)&gt;0,SUM(D96:R96)/'Expenses Summary'!$D52,"")</f>
        <v>1</v>
      </c>
    </row>
    <row r="97" spans="1:19" hidden="1" outlineLevel="1" x14ac:dyDescent="0.2">
      <c r="A97" s="36"/>
      <c r="B97" s="139">
        <f>'Expenses Summary'!B53</f>
        <v>0</v>
      </c>
      <c r="C97" s="139">
        <f>'Expenses Summary'!C53</f>
        <v>0</v>
      </c>
      <c r="D97" s="64" t="str">
        <f>IF('Expenses Summary'!$D53="","",IF('Cash Flow %s Yr1'!D97="","",'Cash Flow %s Yr1'!D97*'Expenses Summary'!$D53))</f>
        <v/>
      </c>
      <c r="E97" s="64" t="str">
        <f>IF('Expenses Summary'!$D53="","",IF('Cash Flow %s Yr1'!E97="","",'Cash Flow %s Yr1'!E97*'Expenses Summary'!$D53))</f>
        <v/>
      </c>
      <c r="F97" s="64" t="str">
        <f>IF('Expenses Summary'!$D53="","",IF('Cash Flow %s Yr1'!F97="","",'Cash Flow %s Yr1'!F97*'Expenses Summary'!$D53))</f>
        <v/>
      </c>
      <c r="G97" s="64" t="str">
        <f>IF('Expenses Summary'!$D53="","",IF('Cash Flow %s Yr1'!G97="","",'Cash Flow %s Yr1'!G97*'Expenses Summary'!$D53))</f>
        <v/>
      </c>
      <c r="H97" s="64" t="str">
        <f>IF('Expenses Summary'!$D53="","",IF('Cash Flow %s Yr1'!H97="","",'Cash Flow %s Yr1'!H97*'Expenses Summary'!$D53))</f>
        <v/>
      </c>
      <c r="I97" s="64" t="str">
        <f>IF('Expenses Summary'!$D53="","",IF('Cash Flow %s Yr1'!I97="","",'Cash Flow %s Yr1'!I97*'Expenses Summary'!$D53))</f>
        <v/>
      </c>
      <c r="J97" s="64" t="str">
        <f>IF('Expenses Summary'!$D53="","",IF('Cash Flow %s Yr1'!J97="","",'Cash Flow %s Yr1'!J97*'Expenses Summary'!$D53))</f>
        <v/>
      </c>
      <c r="K97" s="64" t="str">
        <f>IF('Expenses Summary'!$D53="","",IF('Cash Flow %s Yr1'!K97="","",'Cash Flow %s Yr1'!K97*'Expenses Summary'!$D53))</f>
        <v/>
      </c>
      <c r="L97" s="64" t="str">
        <f>IF('Expenses Summary'!$D53="","",IF('Cash Flow %s Yr1'!L97="","",'Cash Flow %s Yr1'!L97*'Expenses Summary'!$D53))</f>
        <v/>
      </c>
      <c r="M97" s="64" t="str">
        <f>IF('Expenses Summary'!$D53="","",IF('Cash Flow %s Yr1'!M97="","",'Cash Flow %s Yr1'!M97*'Expenses Summary'!$D53))</f>
        <v/>
      </c>
      <c r="N97" s="64" t="str">
        <f>IF('Expenses Summary'!$D53="","",IF('Cash Flow %s Yr1'!N97="","",'Cash Flow %s Yr1'!N97*'Expenses Summary'!$D53))</f>
        <v/>
      </c>
      <c r="O97" s="64" t="str">
        <f>IF('Expenses Summary'!$D53="","",IF('Cash Flow %s Yr1'!O97="","",'Cash Flow %s Yr1'!O97*'Expenses Summary'!$D53))</f>
        <v/>
      </c>
      <c r="P97" s="129"/>
      <c r="Q97" s="129"/>
      <c r="R97" s="129"/>
      <c r="S97" s="111" t="str">
        <f>IF(SUM(D97:R97)&gt;0,SUM(D97:R97)/'Expenses Summary'!$D53,"")</f>
        <v/>
      </c>
    </row>
    <row r="98" spans="1:19" hidden="1" outlineLevel="1" x14ac:dyDescent="0.2">
      <c r="A98" s="36"/>
      <c r="B98" s="139">
        <f>'Expenses Summary'!B54</f>
        <v>0</v>
      </c>
      <c r="C98" s="139">
        <f>'Expenses Summary'!C54</f>
        <v>0</v>
      </c>
      <c r="D98" s="64" t="str">
        <f>IF('Expenses Summary'!$D54="","",IF('Cash Flow %s Yr1'!D98="","",'Cash Flow %s Yr1'!D98*'Expenses Summary'!$D54))</f>
        <v/>
      </c>
      <c r="E98" s="64" t="str">
        <f>IF('Expenses Summary'!$D54="","",IF('Cash Flow %s Yr1'!E98="","",'Cash Flow %s Yr1'!E98*'Expenses Summary'!$D54))</f>
        <v/>
      </c>
      <c r="F98" s="64" t="str">
        <f>IF('Expenses Summary'!$D54="","",IF('Cash Flow %s Yr1'!F98="","",'Cash Flow %s Yr1'!F98*'Expenses Summary'!$D54))</f>
        <v/>
      </c>
      <c r="G98" s="64" t="str">
        <f>IF('Expenses Summary'!$D54="","",IF('Cash Flow %s Yr1'!G98="","",'Cash Flow %s Yr1'!G98*'Expenses Summary'!$D54))</f>
        <v/>
      </c>
      <c r="H98" s="64" t="str">
        <f>IF('Expenses Summary'!$D54="","",IF('Cash Flow %s Yr1'!H98="","",'Cash Flow %s Yr1'!H98*'Expenses Summary'!$D54))</f>
        <v/>
      </c>
      <c r="I98" s="64" t="str">
        <f>IF('Expenses Summary'!$D54="","",IF('Cash Flow %s Yr1'!I98="","",'Cash Flow %s Yr1'!I98*'Expenses Summary'!$D54))</f>
        <v/>
      </c>
      <c r="J98" s="64" t="str">
        <f>IF('Expenses Summary'!$D54="","",IF('Cash Flow %s Yr1'!J98="","",'Cash Flow %s Yr1'!J98*'Expenses Summary'!$D54))</f>
        <v/>
      </c>
      <c r="K98" s="64" t="str">
        <f>IF('Expenses Summary'!$D54="","",IF('Cash Flow %s Yr1'!K98="","",'Cash Flow %s Yr1'!K98*'Expenses Summary'!$D54))</f>
        <v/>
      </c>
      <c r="L98" s="64" t="str">
        <f>IF('Expenses Summary'!$D54="","",IF('Cash Flow %s Yr1'!L98="","",'Cash Flow %s Yr1'!L98*'Expenses Summary'!$D54))</f>
        <v/>
      </c>
      <c r="M98" s="64" t="str">
        <f>IF('Expenses Summary'!$D54="","",IF('Cash Flow %s Yr1'!M98="","",'Cash Flow %s Yr1'!M98*'Expenses Summary'!$D54))</f>
        <v/>
      </c>
      <c r="N98" s="64" t="str">
        <f>IF('Expenses Summary'!$D54="","",IF('Cash Flow %s Yr1'!N98="","",'Cash Flow %s Yr1'!N98*'Expenses Summary'!$D54))</f>
        <v/>
      </c>
      <c r="O98" s="64" t="str">
        <f>IF('Expenses Summary'!$D54="","",IF('Cash Flow %s Yr1'!O98="","",'Cash Flow %s Yr1'!O98*'Expenses Summary'!$D54))</f>
        <v/>
      </c>
      <c r="P98" s="129"/>
      <c r="Q98" s="129"/>
      <c r="R98" s="129"/>
      <c r="S98" s="111" t="str">
        <f>IF(SUM(D98:R98)&gt;0,SUM(D98:R98)/'Expenses Summary'!$D54,"")</f>
        <v/>
      </c>
    </row>
    <row r="99" spans="1:19" hidden="1" outlineLevel="1" x14ac:dyDescent="0.2">
      <c r="A99" s="36"/>
      <c r="B99" s="139">
        <f>'Expenses Summary'!B55</f>
        <v>0</v>
      </c>
      <c r="C99" s="139">
        <f>'Expenses Summary'!C55</f>
        <v>0</v>
      </c>
      <c r="D99" s="64" t="str">
        <f>IF('Expenses Summary'!$D55="","",IF('Cash Flow %s Yr1'!D99="","",'Cash Flow %s Yr1'!D99*'Expenses Summary'!$D55))</f>
        <v/>
      </c>
      <c r="E99" s="64" t="str">
        <f>IF('Expenses Summary'!$D55="","",IF('Cash Flow %s Yr1'!E99="","",'Cash Flow %s Yr1'!E99*'Expenses Summary'!$D55))</f>
        <v/>
      </c>
      <c r="F99" s="64" t="str">
        <f>IF('Expenses Summary'!$D55="","",IF('Cash Flow %s Yr1'!F99="","",'Cash Flow %s Yr1'!F99*'Expenses Summary'!$D55))</f>
        <v/>
      </c>
      <c r="G99" s="64" t="str">
        <f>IF('Expenses Summary'!$D55="","",IF('Cash Flow %s Yr1'!G99="","",'Cash Flow %s Yr1'!G99*'Expenses Summary'!$D55))</f>
        <v/>
      </c>
      <c r="H99" s="64" t="str">
        <f>IF('Expenses Summary'!$D55="","",IF('Cash Flow %s Yr1'!H99="","",'Cash Flow %s Yr1'!H99*'Expenses Summary'!$D55))</f>
        <v/>
      </c>
      <c r="I99" s="64" t="str">
        <f>IF('Expenses Summary'!$D55="","",IF('Cash Flow %s Yr1'!I99="","",'Cash Flow %s Yr1'!I99*'Expenses Summary'!$D55))</f>
        <v/>
      </c>
      <c r="J99" s="64" t="str">
        <f>IF('Expenses Summary'!$D55="","",IF('Cash Flow %s Yr1'!J99="","",'Cash Flow %s Yr1'!J99*'Expenses Summary'!$D55))</f>
        <v/>
      </c>
      <c r="K99" s="64" t="str">
        <f>IF('Expenses Summary'!$D55="","",IF('Cash Flow %s Yr1'!K99="","",'Cash Flow %s Yr1'!K99*'Expenses Summary'!$D55))</f>
        <v/>
      </c>
      <c r="L99" s="64" t="str">
        <f>IF('Expenses Summary'!$D55="","",IF('Cash Flow %s Yr1'!L99="","",'Cash Flow %s Yr1'!L99*'Expenses Summary'!$D55))</f>
        <v/>
      </c>
      <c r="M99" s="64" t="str">
        <f>IF('Expenses Summary'!$D55="","",IF('Cash Flow %s Yr1'!M99="","",'Cash Flow %s Yr1'!M99*'Expenses Summary'!$D55))</f>
        <v/>
      </c>
      <c r="N99" s="64" t="str">
        <f>IF('Expenses Summary'!$D55="","",IF('Cash Flow %s Yr1'!N99="","",'Cash Flow %s Yr1'!N99*'Expenses Summary'!$D55))</f>
        <v/>
      </c>
      <c r="O99" s="64" t="str">
        <f>IF('Expenses Summary'!$D55="","",IF('Cash Flow %s Yr1'!O99="","",'Cash Flow %s Yr1'!O99*'Expenses Summary'!$D55))</f>
        <v/>
      </c>
      <c r="P99" s="129"/>
      <c r="Q99" s="129"/>
      <c r="R99" s="129"/>
      <c r="S99" s="111" t="str">
        <f>IF(SUM(D99:R99)&gt;0,SUM(D99:R99)/'Expenses Summary'!$D55,"")</f>
        <v/>
      </c>
    </row>
    <row r="100" spans="1:19" hidden="1" outlineLevel="1" x14ac:dyDescent="0.2">
      <c r="A100" s="36"/>
      <c r="B100" s="139">
        <f>'Expenses Summary'!B56</f>
        <v>0</v>
      </c>
      <c r="C100" s="139">
        <f>'Expenses Summary'!C56</f>
        <v>0</v>
      </c>
      <c r="D100" s="64" t="str">
        <f>IF('Expenses Summary'!$D56="","",IF('Cash Flow %s Yr1'!D100="","",'Cash Flow %s Yr1'!D100*'Expenses Summary'!$D56))</f>
        <v/>
      </c>
      <c r="E100" s="64" t="str">
        <f>IF('Expenses Summary'!$D56="","",IF('Cash Flow %s Yr1'!E100="","",'Cash Flow %s Yr1'!E100*'Expenses Summary'!$D56))</f>
        <v/>
      </c>
      <c r="F100" s="64" t="str">
        <f>IF('Expenses Summary'!$D56="","",IF('Cash Flow %s Yr1'!F100="","",'Cash Flow %s Yr1'!F100*'Expenses Summary'!$D56))</f>
        <v/>
      </c>
      <c r="G100" s="64" t="str">
        <f>IF('Expenses Summary'!$D56="","",IF('Cash Flow %s Yr1'!G100="","",'Cash Flow %s Yr1'!G100*'Expenses Summary'!$D56))</f>
        <v/>
      </c>
      <c r="H100" s="64" t="str">
        <f>IF('Expenses Summary'!$D56="","",IF('Cash Flow %s Yr1'!H100="","",'Cash Flow %s Yr1'!H100*'Expenses Summary'!$D56))</f>
        <v/>
      </c>
      <c r="I100" s="64" t="str">
        <f>IF('Expenses Summary'!$D56="","",IF('Cash Flow %s Yr1'!I100="","",'Cash Flow %s Yr1'!I100*'Expenses Summary'!$D56))</f>
        <v/>
      </c>
      <c r="J100" s="64" t="str">
        <f>IF('Expenses Summary'!$D56="","",IF('Cash Flow %s Yr1'!J100="","",'Cash Flow %s Yr1'!J100*'Expenses Summary'!$D56))</f>
        <v/>
      </c>
      <c r="K100" s="64" t="str">
        <f>IF('Expenses Summary'!$D56="","",IF('Cash Flow %s Yr1'!K100="","",'Cash Flow %s Yr1'!K100*'Expenses Summary'!$D56))</f>
        <v/>
      </c>
      <c r="L100" s="64" t="str">
        <f>IF('Expenses Summary'!$D56="","",IF('Cash Flow %s Yr1'!L100="","",'Cash Flow %s Yr1'!L100*'Expenses Summary'!$D56))</f>
        <v/>
      </c>
      <c r="M100" s="64" t="str">
        <f>IF('Expenses Summary'!$D56="","",IF('Cash Flow %s Yr1'!M100="","",'Cash Flow %s Yr1'!M100*'Expenses Summary'!$D56))</f>
        <v/>
      </c>
      <c r="N100" s="64" t="str">
        <f>IF('Expenses Summary'!$D56="","",IF('Cash Flow %s Yr1'!N100="","",'Cash Flow %s Yr1'!N100*'Expenses Summary'!$D56))</f>
        <v/>
      </c>
      <c r="O100" s="64" t="str">
        <f>IF('Expenses Summary'!$D56="","",IF('Cash Flow %s Yr1'!O100="","",'Cash Flow %s Yr1'!O100*'Expenses Summary'!$D56))</f>
        <v/>
      </c>
      <c r="P100" s="129"/>
      <c r="Q100" s="129"/>
      <c r="R100" s="129"/>
      <c r="S100" s="111" t="str">
        <f>IF(SUM(D100:R100)&gt;0,SUM(D100:R100)/'Expenses Summary'!$D56,"")</f>
        <v/>
      </c>
    </row>
    <row r="101" spans="1:19" hidden="1" outlineLevel="1" x14ac:dyDescent="0.2">
      <c r="A101" s="36"/>
      <c r="B101" s="139">
        <f>'Expenses Summary'!B57</f>
        <v>0</v>
      </c>
      <c r="C101" s="139">
        <f>'Expenses Summary'!C57</f>
        <v>0</v>
      </c>
      <c r="D101" s="64" t="str">
        <f>IF('Expenses Summary'!$D57="","",IF('Cash Flow %s Yr1'!D101="","",'Cash Flow %s Yr1'!D101*'Expenses Summary'!$D57))</f>
        <v/>
      </c>
      <c r="E101" s="64" t="str">
        <f>IF('Expenses Summary'!$D57="","",IF('Cash Flow %s Yr1'!E101="","",'Cash Flow %s Yr1'!E101*'Expenses Summary'!$D57))</f>
        <v/>
      </c>
      <c r="F101" s="64" t="str">
        <f>IF('Expenses Summary'!$D57="","",IF('Cash Flow %s Yr1'!F101="","",'Cash Flow %s Yr1'!F101*'Expenses Summary'!$D57))</f>
        <v/>
      </c>
      <c r="G101" s="64" t="str">
        <f>IF('Expenses Summary'!$D57="","",IF('Cash Flow %s Yr1'!G101="","",'Cash Flow %s Yr1'!G101*'Expenses Summary'!$D57))</f>
        <v/>
      </c>
      <c r="H101" s="64" t="str">
        <f>IF('Expenses Summary'!$D57="","",IF('Cash Flow %s Yr1'!H101="","",'Cash Flow %s Yr1'!H101*'Expenses Summary'!$D57))</f>
        <v/>
      </c>
      <c r="I101" s="64" t="str">
        <f>IF('Expenses Summary'!$D57="","",IF('Cash Flow %s Yr1'!I101="","",'Cash Flow %s Yr1'!I101*'Expenses Summary'!$D57))</f>
        <v/>
      </c>
      <c r="J101" s="64" t="str">
        <f>IF('Expenses Summary'!$D57="","",IF('Cash Flow %s Yr1'!J101="","",'Cash Flow %s Yr1'!J101*'Expenses Summary'!$D57))</f>
        <v/>
      </c>
      <c r="K101" s="64" t="str">
        <f>IF('Expenses Summary'!$D57="","",IF('Cash Flow %s Yr1'!K101="","",'Cash Flow %s Yr1'!K101*'Expenses Summary'!$D57))</f>
        <v/>
      </c>
      <c r="L101" s="64" t="str">
        <f>IF('Expenses Summary'!$D57="","",IF('Cash Flow %s Yr1'!L101="","",'Cash Flow %s Yr1'!L101*'Expenses Summary'!$D57))</f>
        <v/>
      </c>
      <c r="M101" s="64" t="str">
        <f>IF('Expenses Summary'!$D57="","",IF('Cash Flow %s Yr1'!M101="","",'Cash Flow %s Yr1'!M101*'Expenses Summary'!$D57))</f>
        <v/>
      </c>
      <c r="N101" s="64" t="str">
        <f>IF('Expenses Summary'!$D57="","",IF('Cash Flow %s Yr1'!N101="","",'Cash Flow %s Yr1'!N101*'Expenses Summary'!$D57))</f>
        <v/>
      </c>
      <c r="O101" s="64" t="str">
        <f>IF('Expenses Summary'!$D57="","",IF('Cash Flow %s Yr1'!O101="","",'Cash Flow %s Yr1'!O101*'Expenses Summary'!$D57))</f>
        <v/>
      </c>
      <c r="P101" s="129"/>
      <c r="Q101" s="129"/>
      <c r="R101" s="129"/>
      <c r="S101" s="111" t="str">
        <f>IF(SUM(D101:R101)&gt;0,SUM(D101:R101)/'Expenses Summary'!$D57,"")</f>
        <v/>
      </c>
    </row>
    <row r="102" spans="1:19" hidden="1" outlineLevel="1" x14ac:dyDescent="0.2">
      <c r="A102" s="36"/>
      <c r="B102" s="139">
        <f>'Expenses Summary'!B58</f>
        <v>0</v>
      </c>
      <c r="C102" s="139">
        <f>'Expenses Summary'!C58</f>
        <v>0</v>
      </c>
      <c r="D102" s="64" t="str">
        <f>IF('Expenses Summary'!$D58="","",IF('Cash Flow %s Yr1'!D102="","",'Cash Flow %s Yr1'!D102*'Expenses Summary'!$D58))</f>
        <v/>
      </c>
      <c r="E102" s="64" t="str">
        <f>IF('Expenses Summary'!$D58="","",IF('Cash Flow %s Yr1'!E102="","",'Cash Flow %s Yr1'!E102*'Expenses Summary'!$D58))</f>
        <v/>
      </c>
      <c r="F102" s="64" t="str">
        <f>IF('Expenses Summary'!$D58="","",IF('Cash Flow %s Yr1'!F102="","",'Cash Flow %s Yr1'!F102*'Expenses Summary'!$D58))</f>
        <v/>
      </c>
      <c r="G102" s="64" t="str">
        <f>IF('Expenses Summary'!$D58="","",IF('Cash Flow %s Yr1'!G102="","",'Cash Flow %s Yr1'!G102*'Expenses Summary'!$D58))</f>
        <v/>
      </c>
      <c r="H102" s="64" t="str">
        <f>IF('Expenses Summary'!$D58="","",IF('Cash Flow %s Yr1'!H102="","",'Cash Flow %s Yr1'!H102*'Expenses Summary'!$D58))</f>
        <v/>
      </c>
      <c r="I102" s="64" t="str">
        <f>IF('Expenses Summary'!$D58="","",IF('Cash Flow %s Yr1'!I102="","",'Cash Flow %s Yr1'!I102*'Expenses Summary'!$D58))</f>
        <v/>
      </c>
      <c r="J102" s="64" t="str">
        <f>IF('Expenses Summary'!$D58="","",IF('Cash Flow %s Yr1'!J102="","",'Cash Flow %s Yr1'!J102*'Expenses Summary'!$D58))</f>
        <v/>
      </c>
      <c r="K102" s="64" t="str">
        <f>IF('Expenses Summary'!$D58="","",IF('Cash Flow %s Yr1'!K102="","",'Cash Flow %s Yr1'!K102*'Expenses Summary'!$D58))</f>
        <v/>
      </c>
      <c r="L102" s="64" t="str">
        <f>IF('Expenses Summary'!$D58="","",IF('Cash Flow %s Yr1'!L102="","",'Cash Flow %s Yr1'!L102*'Expenses Summary'!$D58))</f>
        <v/>
      </c>
      <c r="M102" s="64" t="str">
        <f>IF('Expenses Summary'!$D58="","",IF('Cash Flow %s Yr1'!M102="","",'Cash Flow %s Yr1'!M102*'Expenses Summary'!$D58))</f>
        <v/>
      </c>
      <c r="N102" s="64" t="str">
        <f>IF('Expenses Summary'!$D58="","",IF('Cash Flow %s Yr1'!N102="","",'Cash Flow %s Yr1'!N102*'Expenses Summary'!$D58))</f>
        <v/>
      </c>
      <c r="O102" s="64" t="str">
        <f>IF('Expenses Summary'!$D58="","",IF('Cash Flow %s Yr1'!O102="","",'Cash Flow %s Yr1'!O102*'Expenses Summary'!$D58))</f>
        <v/>
      </c>
      <c r="P102" s="129"/>
      <c r="Q102" s="129"/>
      <c r="R102" s="129"/>
      <c r="S102" s="111" t="str">
        <f>IF(SUM(D102:R102)&gt;0,SUM(D102:R102)/'Expenses Summary'!$D58,"")</f>
        <v/>
      </c>
    </row>
    <row r="103" spans="1:19" hidden="1" outlineLevel="1" x14ac:dyDescent="0.2">
      <c r="A103" s="36"/>
      <c r="B103" s="139">
        <f>'Expenses Summary'!B59</f>
        <v>0</v>
      </c>
      <c r="C103" s="139">
        <f>'Expenses Summary'!C59</f>
        <v>0</v>
      </c>
      <c r="D103" s="64" t="str">
        <f>IF('Expenses Summary'!$D59="","",IF('Cash Flow %s Yr1'!D103="","",'Cash Flow %s Yr1'!D103*'Expenses Summary'!$D59))</f>
        <v/>
      </c>
      <c r="E103" s="64" t="str">
        <f>IF('Expenses Summary'!$D59="","",IF('Cash Flow %s Yr1'!E103="","",'Cash Flow %s Yr1'!E103*'Expenses Summary'!$D59))</f>
        <v/>
      </c>
      <c r="F103" s="64" t="str">
        <f>IF('Expenses Summary'!$D59="","",IF('Cash Flow %s Yr1'!F103="","",'Cash Flow %s Yr1'!F103*'Expenses Summary'!$D59))</f>
        <v/>
      </c>
      <c r="G103" s="64" t="str">
        <f>IF('Expenses Summary'!$D59="","",IF('Cash Flow %s Yr1'!G103="","",'Cash Flow %s Yr1'!G103*'Expenses Summary'!$D59))</f>
        <v/>
      </c>
      <c r="H103" s="64" t="str">
        <f>IF('Expenses Summary'!$D59="","",IF('Cash Flow %s Yr1'!H103="","",'Cash Flow %s Yr1'!H103*'Expenses Summary'!$D59))</f>
        <v/>
      </c>
      <c r="I103" s="64" t="str">
        <f>IF('Expenses Summary'!$D59="","",IF('Cash Flow %s Yr1'!I103="","",'Cash Flow %s Yr1'!I103*'Expenses Summary'!$D59))</f>
        <v/>
      </c>
      <c r="J103" s="64" t="str">
        <f>IF('Expenses Summary'!$D59="","",IF('Cash Flow %s Yr1'!J103="","",'Cash Flow %s Yr1'!J103*'Expenses Summary'!$D59))</f>
        <v/>
      </c>
      <c r="K103" s="64" t="str">
        <f>IF('Expenses Summary'!$D59="","",IF('Cash Flow %s Yr1'!K103="","",'Cash Flow %s Yr1'!K103*'Expenses Summary'!$D59))</f>
        <v/>
      </c>
      <c r="L103" s="64" t="str">
        <f>IF('Expenses Summary'!$D59="","",IF('Cash Flow %s Yr1'!L103="","",'Cash Flow %s Yr1'!L103*'Expenses Summary'!$D59))</f>
        <v/>
      </c>
      <c r="M103" s="64" t="str">
        <f>IF('Expenses Summary'!$D59="","",IF('Cash Flow %s Yr1'!M103="","",'Cash Flow %s Yr1'!M103*'Expenses Summary'!$D59))</f>
        <v/>
      </c>
      <c r="N103" s="64" t="str">
        <f>IF('Expenses Summary'!$D59="","",IF('Cash Flow %s Yr1'!N103="","",'Cash Flow %s Yr1'!N103*'Expenses Summary'!$D59))</f>
        <v/>
      </c>
      <c r="O103" s="64" t="str">
        <f>IF('Expenses Summary'!$D59="","",IF('Cash Flow %s Yr1'!O103="","",'Cash Flow %s Yr1'!O103*'Expenses Summary'!$D59))</f>
        <v/>
      </c>
      <c r="P103" s="129"/>
      <c r="Q103" s="129"/>
      <c r="R103" s="129"/>
      <c r="S103" s="111" t="str">
        <f>IF(SUM(D103:R103)&gt;0,SUM(D103:R103)/'Expenses Summary'!$D59,"")</f>
        <v/>
      </c>
    </row>
    <row r="104" spans="1:19" hidden="1" outlineLevel="1" x14ac:dyDescent="0.2">
      <c r="A104" s="36"/>
      <c r="B104" s="139">
        <f>'Expenses Summary'!B60</f>
        <v>0</v>
      </c>
      <c r="C104" s="139">
        <f>'Expenses Summary'!C60</f>
        <v>0</v>
      </c>
      <c r="D104" s="64" t="str">
        <f>IF('Expenses Summary'!$D60="","",IF('Cash Flow %s Yr1'!D104="","",'Cash Flow %s Yr1'!D104*'Expenses Summary'!$D60))</f>
        <v/>
      </c>
      <c r="E104" s="64" t="str">
        <f>IF('Expenses Summary'!$D60="","",IF('Cash Flow %s Yr1'!E104="","",'Cash Flow %s Yr1'!E104*'Expenses Summary'!$D60))</f>
        <v/>
      </c>
      <c r="F104" s="64" t="str">
        <f>IF('Expenses Summary'!$D60="","",IF('Cash Flow %s Yr1'!F104="","",'Cash Flow %s Yr1'!F104*'Expenses Summary'!$D60))</f>
        <v/>
      </c>
      <c r="G104" s="64" t="str">
        <f>IF('Expenses Summary'!$D60="","",IF('Cash Flow %s Yr1'!G104="","",'Cash Flow %s Yr1'!G104*'Expenses Summary'!$D60))</f>
        <v/>
      </c>
      <c r="H104" s="64" t="str">
        <f>IF('Expenses Summary'!$D60="","",IF('Cash Flow %s Yr1'!H104="","",'Cash Flow %s Yr1'!H104*'Expenses Summary'!$D60))</f>
        <v/>
      </c>
      <c r="I104" s="64" t="str">
        <f>IF('Expenses Summary'!$D60="","",IF('Cash Flow %s Yr1'!I104="","",'Cash Flow %s Yr1'!I104*'Expenses Summary'!$D60))</f>
        <v/>
      </c>
      <c r="J104" s="64" t="str">
        <f>IF('Expenses Summary'!$D60="","",IF('Cash Flow %s Yr1'!J104="","",'Cash Flow %s Yr1'!J104*'Expenses Summary'!$D60))</f>
        <v/>
      </c>
      <c r="K104" s="64" t="str">
        <f>IF('Expenses Summary'!$D60="","",IF('Cash Flow %s Yr1'!K104="","",'Cash Flow %s Yr1'!K104*'Expenses Summary'!$D60))</f>
        <v/>
      </c>
      <c r="L104" s="64" t="str">
        <f>IF('Expenses Summary'!$D60="","",IF('Cash Flow %s Yr1'!L104="","",'Cash Flow %s Yr1'!L104*'Expenses Summary'!$D60))</f>
        <v/>
      </c>
      <c r="M104" s="64" t="str">
        <f>IF('Expenses Summary'!$D60="","",IF('Cash Flow %s Yr1'!M104="","",'Cash Flow %s Yr1'!M104*'Expenses Summary'!$D60))</f>
        <v/>
      </c>
      <c r="N104" s="64" t="str">
        <f>IF('Expenses Summary'!$D60="","",IF('Cash Flow %s Yr1'!N104="","",'Cash Flow %s Yr1'!N104*'Expenses Summary'!$D60))</f>
        <v/>
      </c>
      <c r="O104" s="64" t="str">
        <f>IF('Expenses Summary'!$D60="","",IF('Cash Flow %s Yr1'!O104="","",'Cash Flow %s Yr1'!O104*'Expenses Summary'!$D60))</f>
        <v/>
      </c>
      <c r="P104" s="129"/>
      <c r="Q104" s="129"/>
      <c r="R104" s="129"/>
      <c r="S104" s="111" t="str">
        <f>IF(SUM(D104:R104)&gt;0,SUM(D104:R104)/'Expenses Summary'!$D60,"")</f>
        <v/>
      </c>
    </row>
    <row r="105" spans="1:19" hidden="1" outlineLevel="1" x14ac:dyDescent="0.2">
      <c r="A105" s="36"/>
      <c r="B105" s="139">
        <f>'Expenses Summary'!B61</f>
        <v>0</v>
      </c>
      <c r="C105" s="139">
        <f>'Expenses Summary'!C61</f>
        <v>0</v>
      </c>
      <c r="D105" s="64" t="str">
        <f>IF('Expenses Summary'!$D61="","",IF('Cash Flow %s Yr1'!D105="","",'Cash Flow %s Yr1'!D105*'Expenses Summary'!$D61))</f>
        <v/>
      </c>
      <c r="E105" s="64" t="str">
        <f>IF('Expenses Summary'!$D61="","",IF('Cash Flow %s Yr1'!E105="","",'Cash Flow %s Yr1'!E105*'Expenses Summary'!$D61))</f>
        <v/>
      </c>
      <c r="F105" s="64" t="str">
        <f>IF('Expenses Summary'!$D61="","",IF('Cash Flow %s Yr1'!F105="","",'Cash Flow %s Yr1'!F105*'Expenses Summary'!$D61))</f>
        <v/>
      </c>
      <c r="G105" s="64" t="str">
        <f>IF('Expenses Summary'!$D61="","",IF('Cash Flow %s Yr1'!G105="","",'Cash Flow %s Yr1'!G105*'Expenses Summary'!$D61))</f>
        <v/>
      </c>
      <c r="H105" s="64" t="str">
        <f>IF('Expenses Summary'!$D61="","",IF('Cash Flow %s Yr1'!H105="","",'Cash Flow %s Yr1'!H105*'Expenses Summary'!$D61))</f>
        <v/>
      </c>
      <c r="I105" s="64" t="str">
        <f>IF('Expenses Summary'!$D61="","",IF('Cash Flow %s Yr1'!I105="","",'Cash Flow %s Yr1'!I105*'Expenses Summary'!$D61))</f>
        <v/>
      </c>
      <c r="J105" s="64" t="str">
        <f>IF('Expenses Summary'!$D61="","",IF('Cash Flow %s Yr1'!J105="","",'Cash Flow %s Yr1'!J105*'Expenses Summary'!$D61))</f>
        <v/>
      </c>
      <c r="K105" s="64" t="str">
        <f>IF('Expenses Summary'!$D61="","",IF('Cash Flow %s Yr1'!K105="","",'Cash Flow %s Yr1'!K105*'Expenses Summary'!$D61))</f>
        <v/>
      </c>
      <c r="L105" s="64" t="str">
        <f>IF('Expenses Summary'!$D61="","",IF('Cash Flow %s Yr1'!L105="","",'Cash Flow %s Yr1'!L105*'Expenses Summary'!$D61))</f>
        <v/>
      </c>
      <c r="M105" s="64" t="str">
        <f>IF('Expenses Summary'!$D61="","",IF('Cash Flow %s Yr1'!M105="","",'Cash Flow %s Yr1'!M105*'Expenses Summary'!$D61))</f>
        <v/>
      </c>
      <c r="N105" s="64" t="str">
        <f>IF('Expenses Summary'!$D61="","",IF('Cash Flow %s Yr1'!N105="","",'Cash Flow %s Yr1'!N105*'Expenses Summary'!$D61))</f>
        <v/>
      </c>
      <c r="O105" s="64" t="str">
        <f>IF('Expenses Summary'!$D61="","",IF('Cash Flow %s Yr1'!O105="","",'Cash Flow %s Yr1'!O105*'Expenses Summary'!$D61))</f>
        <v/>
      </c>
      <c r="P105" s="129"/>
      <c r="Q105" s="129"/>
      <c r="R105" s="129"/>
      <c r="S105" s="111" t="str">
        <f>IF(SUM(D105:R105)&gt;0,SUM(D105:R105)/'Expenses Summary'!$D61,"")</f>
        <v/>
      </c>
    </row>
    <row r="106" spans="1:19" hidden="1" outlineLevel="1" x14ac:dyDescent="0.2">
      <c r="A106" s="36"/>
      <c r="B106" s="139">
        <f>'Expenses Summary'!B62</f>
        <v>0</v>
      </c>
      <c r="C106" s="139">
        <f>'Expenses Summary'!C62</f>
        <v>0</v>
      </c>
      <c r="D106" s="64" t="str">
        <f>IF('Expenses Summary'!$D62="","",IF('Cash Flow %s Yr1'!D106="","",'Cash Flow %s Yr1'!D106*'Expenses Summary'!$D62))</f>
        <v/>
      </c>
      <c r="E106" s="64" t="str">
        <f>IF('Expenses Summary'!$D62="","",IF('Cash Flow %s Yr1'!E106="","",'Cash Flow %s Yr1'!E106*'Expenses Summary'!$D62))</f>
        <v/>
      </c>
      <c r="F106" s="64" t="str">
        <f>IF('Expenses Summary'!$D62="","",IF('Cash Flow %s Yr1'!F106="","",'Cash Flow %s Yr1'!F106*'Expenses Summary'!$D62))</f>
        <v/>
      </c>
      <c r="G106" s="64" t="str">
        <f>IF('Expenses Summary'!$D62="","",IF('Cash Flow %s Yr1'!G106="","",'Cash Flow %s Yr1'!G106*'Expenses Summary'!$D62))</f>
        <v/>
      </c>
      <c r="H106" s="64" t="str">
        <f>IF('Expenses Summary'!$D62="","",IF('Cash Flow %s Yr1'!H106="","",'Cash Flow %s Yr1'!H106*'Expenses Summary'!$D62))</f>
        <v/>
      </c>
      <c r="I106" s="64" t="str">
        <f>IF('Expenses Summary'!$D62="","",IF('Cash Flow %s Yr1'!I106="","",'Cash Flow %s Yr1'!I106*'Expenses Summary'!$D62))</f>
        <v/>
      </c>
      <c r="J106" s="64" t="str">
        <f>IF('Expenses Summary'!$D62="","",IF('Cash Flow %s Yr1'!J106="","",'Cash Flow %s Yr1'!J106*'Expenses Summary'!$D62))</f>
        <v/>
      </c>
      <c r="K106" s="64" t="str">
        <f>IF('Expenses Summary'!$D62="","",IF('Cash Flow %s Yr1'!K106="","",'Cash Flow %s Yr1'!K106*'Expenses Summary'!$D62))</f>
        <v/>
      </c>
      <c r="L106" s="64" t="str">
        <f>IF('Expenses Summary'!$D62="","",IF('Cash Flow %s Yr1'!L106="","",'Cash Flow %s Yr1'!L106*'Expenses Summary'!$D62))</f>
        <v/>
      </c>
      <c r="M106" s="64" t="str">
        <f>IF('Expenses Summary'!$D62="","",IF('Cash Flow %s Yr1'!M106="","",'Cash Flow %s Yr1'!M106*'Expenses Summary'!$D62))</f>
        <v/>
      </c>
      <c r="N106" s="64" t="str">
        <f>IF('Expenses Summary'!$D62="","",IF('Cash Flow %s Yr1'!N106="","",'Cash Flow %s Yr1'!N106*'Expenses Summary'!$D62))</f>
        <v/>
      </c>
      <c r="O106" s="64" t="str">
        <f>IF('Expenses Summary'!$D62="","",IF('Cash Flow %s Yr1'!O106="","",'Cash Flow %s Yr1'!O106*'Expenses Summary'!$D62))</f>
        <v/>
      </c>
      <c r="P106" s="129"/>
      <c r="Q106" s="129"/>
      <c r="R106" s="129"/>
      <c r="S106" s="111" t="str">
        <f>IF(SUM(D106:R106)&gt;0,SUM(D106:R106)/'Expenses Summary'!$D62,"")</f>
        <v/>
      </c>
    </row>
    <row r="107" spans="1:19" s="31" customFormat="1" collapsed="1" x14ac:dyDescent="0.2">
      <c r="A107" s="36"/>
      <c r="B107" s="139" t="str">
        <f>'Expenses Summary'!B63</f>
        <v>4700</v>
      </c>
      <c r="C107" s="139" t="str">
        <f>'Expenses Summary'!C63</f>
        <v>Food and Food Supplies</v>
      </c>
      <c r="D107" s="64" t="str">
        <f>IF('Expenses Summary'!$D63="","",IF('Cash Flow %s Yr1'!D107="","",'Cash Flow %s Yr1'!D107*'Expenses Summary'!$D63))</f>
        <v/>
      </c>
      <c r="E107" s="64" t="str">
        <f>IF('Expenses Summary'!$D63="","",IF('Cash Flow %s Yr1'!E107="","",'Cash Flow %s Yr1'!E107*'Expenses Summary'!$D63))</f>
        <v/>
      </c>
      <c r="F107" s="64">
        <f>IF('Expenses Summary'!$D63="","",IF('Cash Flow %s Yr1'!F107="","",'Cash Flow %s Yr1'!F107*'Expenses Summary'!$D63))</f>
        <v>25.52</v>
      </c>
      <c r="G107" s="64" t="str">
        <f>IF('Expenses Summary'!$D63="","",IF('Cash Flow %s Yr1'!G107="","",'Cash Flow %s Yr1'!G107*'Expenses Summary'!$D63))</f>
        <v/>
      </c>
      <c r="H107" s="64">
        <f>IF('Expenses Summary'!$D63="","",IF('Cash Flow %s Yr1'!H107="","",'Cash Flow %s Yr1'!H107*'Expenses Summary'!$D63))</f>
        <v>46.400000000000006</v>
      </c>
      <c r="I107" s="64">
        <f>IF('Expenses Summary'!$D63="","",IF('Cash Flow %s Yr1'!I107="","",'Cash Flow %s Yr1'!I107*'Expenses Summary'!$D63))</f>
        <v>46.400000000000006</v>
      </c>
      <c r="J107" s="64">
        <f>IF('Expenses Summary'!$D63="","",IF('Cash Flow %s Yr1'!J107="","",'Cash Flow %s Yr1'!J107*'Expenses Summary'!$D63))</f>
        <v>46.400000000000006</v>
      </c>
      <c r="K107" s="64">
        <f>IF('Expenses Summary'!$D63="","",IF('Cash Flow %s Yr1'!K107="","",'Cash Flow %s Yr1'!K107*'Expenses Summary'!$D63))</f>
        <v>46.400000000000006</v>
      </c>
      <c r="L107" s="64">
        <f>IF('Expenses Summary'!$D63="","",IF('Cash Flow %s Yr1'!L107="","",'Cash Flow %s Yr1'!L107*'Expenses Summary'!$D63))</f>
        <v>46.400000000000006</v>
      </c>
      <c r="M107" s="64">
        <f>IF('Expenses Summary'!$D63="","",IF('Cash Flow %s Yr1'!M107="","",'Cash Flow %s Yr1'!M107*'Expenses Summary'!$D63))</f>
        <v>46.400000000000006</v>
      </c>
      <c r="N107" s="64">
        <f>IF('Expenses Summary'!$D63="","",IF('Cash Flow %s Yr1'!N107="","",'Cash Flow %s Yr1'!N107*'Expenses Summary'!$D63))</f>
        <v>46.400000000000006</v>
      </c>
      <c r="O107" s="64">
        <f>IF('Expenses Summary'!$D63="","",IF('Cash Flow %s Yr1'!O107="","",'Cash Flow %s Yr1'!O107*'Expenses Summary'!$D63))</f>
        <v>46.400000000000006</v>
      </c>
      <c r="P107" s="64">
        <f>IF('Expenses Summary'!$D63="","",IF('Cash Flow %s Yr1'!P107="","",'Cash Flow %s Yr1'!P107*'Expenses Summary'!$D63))</f>
        <v>46.400000000000006</v>
      </c>
      <c r="Q107" s="64">
        <f>IF('Expenses Summary'!$D63="","",IF('Cash Flow %s Yr1'!Q107="","",'Cash Flow %s Yr1'!Q107*'Expenses Summary'!$D63))</f>
        <v>20.88</v>
      </c>
      <c r="R107" s="64" t="str">
        <f>IF('Expenses Summary'!$D63="","",IF('Cash Flow %s Yr1'!R107="","",'Cash Flow %s Yr1'!R107*'Expenses Summary'!$D63))</f>
        <v/>
      </c>
      <c r="S107" s="111">
        <f>IF(SUM(D107:R107)&gt;0,SUM(D107:R107)/'Expenses Summary'!$D63,"")</f>
        <v>1</v>
      </c>
    </row>
    <row r="108" spans="1:19" s="31" customFormat="1" x14ac:dyDescent="0.2">
      <c r="A108" s="36"/>
      <c r="B108" s="33" t="s">
        <v>558</v>
      </c>
      <c r="C108" s="34" t="s">
        <v>721</v>
      </c>
      <c r="D108" s="172">
        <f t="shared" ref="D108:P108" si="9">IF(SUM(D90:D107)&gt;0,SUM(D90:D107),"")</f>
        <v>323.36799999999999</v>
      </c>
      <c r="E108" s="172">
        <f t="shared" si="9"/>
        <v>323.36799999999999</v>
      </c>
      <c r="F108" s="172">
        <f t="shared" si="9"/>
        <v>4722.7880000000005</v>
      </c>
      <c r="G108" s="172">
        <f t="shared" si="9"/>
        <v>674.56799999999998</v>
      </c>
      <c r="H108" s="172">
        <f t="shared" si="9"/>
        <v>9932.018</v>
      </c>
      <c r="I108" s="172">
        <f t="shared" si="9"/>
        <v>7964.7179999999998</v>
      </c>
      <c r="J108" s="172">
        <f t="shared" si="9"/>
        <v>11536.418</v>
      </c>
      <c r="K108" s="172">
        <f t="shared" si="9"/>
        <v>720.96799999999996</v>
      </c>
      <c r="L108" s="172">
        <f t="shared" si="9"/>
        <v>8507.3139999999985</v>
      </c>
      <c r="M108" s="172">
        <f t="shared" si="9"/>
        <v>724.86400000000003</v>
      </c>
      <c r="N108" s="172">
        <f t="shared" si="9"/>
        <v>373.66399999999999</v>
      </c>
      <c r="O108" s="172">
        <f t="shared" si="9"/>
        <v>373.66399999999999</v>
      </c>
      <c r="P108" s="172">
        <f t="shared" si="9"/>
        <v>46.400000000000006</v>
      </c>
      <c r="Q108" s="172">
        <f t="shared" ref="Q108:R108" si="10">IF(SUM(Q90:Q107)&gt;0,SUM(Q90:Q107),"")</f>
        <v>20.88</v>
      </c>
      <c r="R108" s="172" t="str">
        <f t="shared" si="10"/>
        <v/>
      </c>
      <c r="S108" s="107"/>
    </row>
    <row r="109" spans="1:19" s="31" customFormat="1" x14ac:dyDescent="0.2">
      <c r="A109" s="36"/>
      <c r="B109" s="4"/>
      <c r="C109" s="3"/>
      <c r="D109" s="95"/>
      <c r="E109" s="95"/>
      <c r="F109" s="95"/>
      <c r="G109" s="95"/>
      <c r="H109" s="95"/>
      <c r="I109" s="95"/>
      <c r="J109" s="95"/>
      <c r="K109" s="95"/>
      <c r="L109" s="95"/>
      <c r="M109" s="95"/>
      <c r="N109" s="95"/>
      <c r="O109" s="95"/>
      <c r="P109" s="95"/>
      <c r="Q109" s="95"/>
      <c r="R109" s="95"/>
    </row>
    <row r="110" spans="1:19" s="31" customFormat="1" x14ac:dyDescent="0.2">
      <c r="B110" s="5" t="s">
        <v>722</v>
      </c>
      <c r="C110" s="3"/>
      <c r="D110" s="95"/>
      <c r="E110" s="95"/>
      <c r="F110" s="95"/>
      <c r="G110" s="95"/>
      <c r="H110" s="95"/>
      <c r="I110" s="95"/>
      <c r="J110" s="95"/>
      <c r="K110" s="95"/>
      <c r="L110" s="95"/>
      <c r="M110" s="95"/>
      <c r="N110" s="95"/>
      <c r="O110" s="95"/>
      <c r="P110" s="95"/>
      <c r="Q110" s="95"/>
      <c r="R110" s="95"/>
    </row>
    <row r="111" spans="1:19" s="31" customFormat="1" x14ac:dyDescent="0.2">
      <c r="A111" s="36"/>
      <c r="B111" s="139" t="str">
        <f>'Expenses Summary'!B67</f>
        <v>5200</v>
      </c>
      <c r="C111" s="139" t="str">
        <f>'Expenses Summary'!C67</f>
        <v>Travel and Conferences</v>
      </c>
      <c r="D111" s="64">
        <f>IF('Expenses Summary'!$D67="","",IF('Cash Flow %s Yr1'!D111="","",'Cash Flow %s Yr1'!D111*'Expenses Summary'!$D67))</f>
        <v>0</v>
      </c>
      <c r="E111" s="64">
        <f>IF('Expenses Summary'!$D67="","",IF('Cash Flow %s Yr1'!E111="","",'Cash Flow %s Yr1'!E111*'Expenses Summary'!$D67))</f>
        <v>0</v>
      </c>
      <c r="F111" s="64">
        <f>IF('Expenses Summary'!$D67="","",IF('Cash Flow %s Yr1'!F111="","",'Cash Flow %s Yr1'!F111*'Expenses Summary'!$D67))</f>
        <v>1485.8999999999999</v>
      </c>
      <c r="G111" s="64">
        <f>IF('Expenses Summary'!$D67="","",IF('Cash Flow %s Yr1'!G111="","",'Cash Flow %s Yr1'!G111*'Expenses Summary'!$D67))</f>
        <v>495.3</v>
      </c>
      <c r="H111" s="64">
        <f>IF('Expenses Summary'!$D67="","",IF('Cash Flow %s Yr1'!H111="","",'Cash Flow %s Yr1'!H111*'Expenses Summary'!$D67))</f>
        <v>495.3</v>
      </c>
      <c r="I111" s="64">
        <f>IF('Expenses Summary'!$D67="","",IF('Cash Flow %s Yr1'!I111="","",'Cash Flow %s Yr1'!I111*'Expenses Summary'!$D67))</f>
        <v>495.3</v>
      </c>
      <c r="J111" s="64">
        <f>IF('Expenses Summary'!$D67="","",IF('Cash Flow %s Yr1'!J111="","",'Cash Flow %s Yr1'!J111*'Expenses Summary'!$D67))</f>
        <v>495.3</v>
      </c>
      <c r="K111" s="64">
        <f>IF('Expenses Summary'!$D67="","",IF('Cash Flow %s Yr1'!K111="","",'Cash Flow %s Yr1'!K111*'Expenses Summary'!$D67))</f>
        <v>495.3</v>
      </c>
      <c r="L111" s="64">
        <f>IF('Expenses Summary'!$D67="","",IF('Cash Flow %s Yr1'!L111="","",'Cash Flow %s Yr1'!L111*'Expenses Summary'!$D67))</f>
        <v>495.3</v>
      </c>
      <c r="M111" s="64">
        <f>IF('Expenses Summary'!$D67="","",IF('Cash Flow %s Yr1'!M111="","",'Cash Flow %s Yr1'!M111*'Expenses Summary'!$D67))</f>
        <v>495.3</v>
      </c>
      <c r="N111" s="64">
        <f>IF('Expenses Summary'!$D67="","",IF('Cash Flow %s Yr1'!N111="","",'Cash Flow %s Yr1'!N111*'Expenses Summary'!$D67))</f>
        <v>0</v>
      </c>
      <c r="O111" s="64">
        <f>IF('Expenses Summary'!$D67="","",IF('Cash Flow %s Yr1'!O111="","",'Cash Flow %s Yr1'!O111*'Expenses Summary'!$D67))</f>
        <v>0</v>
      </c>
      <c r="P111" s="129"/>
      <c r="Q111" s="129"/>
      <c r="R111" s="129"/>
      <c r="S111" s="111">
        <f>IF(SUM(D111:R111)&gt;0,SUM(D111:R111)/'Expenses Summary'!$D67,"")</f>
        <v>1.0000000000000002</v>
      </c>
    </row>
    <row r="112" spans="1:19" s="31" customFormat="1" x14ac:dyDescent="0.2">
      <c r="A112" s="36"/>
      <c r="B112" s="139" t="str">
        <f>'Expenses Summary'!B68</f>
        <v>5210</v>
      </c>
      <c r="C112" s="139" t="str">
        <f>'Expenses Summary'!C68</f>
        <v>Training and Development Expense</v>
      </c>
      <c r="D112" s="64">
        <f>IF('Expenses Summary'!$D68="","",IF('Cash Flow %s Yr1'!D112="","",'Cash Flow %s Yr1'!D112*'Expenses Summary'!$D68))</f>
        <v>0</v>
      </c>
      <c r="E112" s="64">
        <f>IF('Expenses Summary'!$D68="","",IF('Cash Flow %s Yr1'!E112="","",'Cash Flow %s Yr1'!E112*'Expenses Summary'!$D68))</f>
        <v>0</v>
      </c>
      <c r="F112" s="64">
        <f>IF('Expenses Summary'!$D68="","",IF('Cash Flow %s Yr1'!F112="","",'Cash Flow %s Yr1'!F112*'Expenses Summary'!$D68))</f>
        <v>1166.4000000000001</v>
      </c>
      <c r="G112" s="64">
        <f>IF('Expenses Summary'!$D68="","",IF('Cash Flow %s Yr1'!G112="","",'Cash Flow %s Yr1'!G112*'Expenses Summary'!$D68))</f>
        <v>0</v>
      </c>
      <c r="H112" s="64">
        <f>IF('Expenses Summary'!$D68="","",IF('Cash Flow %s Yr1'!H112="","",'Cash Flow %s Yr1'!H112*'Expenses Summary'!$D68))</f>
        <v>0</v>
      </c>
      <c r="I112" s="64">
        <f>IF('Expenses Summary'!$D68="","",IF('Cash Flow %s Yr1'!I112="","",'Cash Flow %s Yr1'!I112*'Expenses Summary'!$D68))</f>
        <v>0</v>
      </c>
      <c r="J112" s="64">
        <f>IF('Expenses Summary'!$D68="","",IF('Cash Flow %s Yr1'!J112="","",'Cash Flow %s Yr1'!J112*'Expenses Summary'!$D68))</f>
        <v>0</v>
      </c>
      <c r="K112" s="64">
        <f>IF('Expenses Summary'!$D68="","",IF('Cash Flow %s Yr1'!K112="","",'Cash Flow %s Yr1'!K112*'Expenses Summary'!$D68))</f>
        <v>0</v>
      </c>
      <c r="L112" s="64">
        <f>IF('Expenses Summary'!$D68="","",IF('Cash Flow %s Yr1'!L112="","",'Cash Flow %s Yr1'!L112*'Expenses Summary'!$D68))</f>
        <v>129.6</v>
      </c>
      <c r="M112" s="64">
        <f>IF('Expenses Summary'!$D68="","",IF('Cash Flow %s Yr1'!M112="","",'Cash Flow %s Yr1'!M112*'Expenses Summary'!$D68))</f>
        <v>0</v>
      </c>
      <c r="N112" s="64">
        <f>IF('Expenses Summary'!$D68="","",IF('Cash Flow %s Yr1'!N112="","",'Cash Flow %s Yr1'!N112*'Expenses Summary'!$D68))</f>
        <v>0</v>
      </c>
      <c r="O112" s="64">
        <f>IF('Expenses Summary'!$D68="","",IF('Cash Flow %s Yr1'!O112="","",'Cash Flow %s Yr1'!O112*'Expenses Summary'!$D68))</f>
        <v>0</v>
      </c>
      <c r="P112" s="129"/>
      <c r="Q112" s="129"/>
      <c r="R112" s="129"/>
      <c r="S112" s="111">
        <f>IF(SUM(D112:R112)&gt;0,SUM(D112:R112)/'Expenses Summary'!$D68,"")</f>
        <v>1</v>
      </c>
    </row>
    <row r="113" spans="1:19" s="31" customFormat="1" x14ac:dyDescent="0.2">
      <c r="A113" s="36"/>
      <c r="B113" s="139" t="str">
        <f>'Expenses Summary'!B69</f>
        <v>5300</v>
      </c>
      <c r="C113" s="139" t="str">
        <f>'Expenses Summary'!C69</f>
        <v>Dues and Memberships</v>
      </c>
      <c r="D113" s="64">
        <f>IF('Expenses Summary'!$D69="","",IF('Cash Flow %s Yr1'!D113="","",'Cash Flow %s Yr1'!D113*'Expenses Summary'!$D69))</f>
        <v>0</v>
      </c>
      <c r="E113" s="64">
        <f>IF('Expenses Summary'!$D69="","",IF('Cash Flow %s Yr1'!E113="","",'Cash Flow %s Yr1'!E113*'Expenses Summary'!$D69))</f>
        <v>0</v>
      </c>
      <c r="F113" s="64">
        <f>IF('Expenses Summary'!$D69="","",IF('Cash Flow %s Yr1'!F113="","",'Cash Flow %s Yr1'!F113*'Expenses Summary'!$D69))</f>
        <v>2283.6</v>
      </c>
      <c r="G113" s="64">
        <f>IF('Expenses Summary'!$D69="","",IF('Cash Flow %s Yr1'!G113="","",'Cash Flow %s Yr1'!G113*'Expenses Summary'!$D69))</f>
        <v>761.2</v>
      </c>
      <c r="H113" s="64">
        <f>IF('Expenses Summary'!$D69="","",IF('Cash Flow %s Yr1'!H113="","",'Cash Flow %s Yr1'!H113*'Expenses Summary'!$D69))</f>
        <v>761.2</v>
      </c>
      <c r="I113" s="64">
        <f>IF('Expenses Summary'!$D69="","",IF('Cash Flow %s Yr1'!I113="","",'Cash Flow %s Yr1'!I113*'Expenses Summary'!$D69))</f>
        <v>761.2</v>
      </c>
      <c r="J113" s="64">
        <f>IF('Expenses Summary'!$D69="","",IF('Cash Flow %s Yr1'!J113="","",'Cash Flow %s Yr1'!J113*'Expenses Summary'!$D69))</f>
        <v>761.2</v>
      </c>
      <c r="K113" s="64">
        <f>IF('Expenses Summary'!$D69="","",IF('Cash Flow %s Yr1'!K113="","",'Cash Flow %s Yr1'!K113*'Expenses Summary'!$D69))</f>
        <v>761.2</v>
      </c>
      <c r="L113" s="64">
        <f>IF('Expenses Summary'!$D69="","",IF('Cash Flow %s Yr1'!L113="","",'Cash Flow %s Yr1'!L113*'Expenses Summary'!$D69))</f>
        <v>761.2</v>
      </c>
      <c r="M113" s="64">
        <f>IF('Expenses Summary'!$D69="","",IF('Cash Flow %s Yr1'!M113="","",'Cash Flow %s Yr1'!M113*'Expenses Summary'!$D69))</f>
        <v>761.2</v>
      </c>
      <c r="N113" s="64">
        <f>IF('Expenses Summary'!$D69="","",IF('Cash Flow %s Yr1'!N113="","",'Cash Flow %s Yr1'!N113*'Expenses Summary'!$D69))</f>
        <v>0</v>
      </c>
      <c r="O113" s="64">
        <f>IF('Expenses Summary'!$D69="","",IF('Cash Flow %s Yr1'!O113="","",'Cash Flow %s Yr1'!O113*'Expenses Summary'!$D69))</f>
        <v>0</v>
      </c>
      <c r="P113" s="129"/>
      <c r="Q113" s="129"/>
      <c r="R113" s="129"/>
      <c r="S113" s="111">
        <f>IF(SUM(D113:R113)&gt;0,SUM(D113:R113)/'Expenses Summary'!$D69,"")</f>
        <v>0.99999999999999989</v>
      </c>
    </row>
    <row r="114" spans="1:19" s="31" customFormat="1" x14ac:dyDescent="0.2">
      <c r="A114" s="36"/>
      <c r="B114" s="139" t="str">
        <f>'Expenses Summary'!B70</f>
        <v>5400</v>
      </c>
      <c r="C114" s="139" t="str">
        <f>'Expenses Summary'!C70</f>
        <v>Insurance</v>
      </c>
      <c r="D114" s="64">
        <f>IF('Expenses Summary'!$D70="","",IF('Cash Flow %s Yr1'!D114="","",'Cash Flow %s Yr1'!D114*'Expenses Summary'!$D70))</f>
        <v>0</v>
      </c>
      <c r="E114" s="64">
        <f>IF('Expenses Summary'!$D70="","",IF('Cash Flow %s Yr1'!E114="","",'Cash Flow %s Yr1'!E114*'Expenses Summary'!$D70))</f>
        <v>0</v>
      </c>
      <c r="F114" s="64">
        <f>IF('Expenses Summary'!$D70="","",IF('Cash Flow %s Yr1'!F114="","",'Cash Flow %s Yr1'!F114*'Expenses Summary'!$D70))</f>
        <v>4462.8</v>
      </c>
      <c r="G114" s="64">
        <f>IF('Expenses Summary'!$D70="","",IF('Cash Flow %s Yr1'!G114="","",'Cash Flow %s Yr1'!G114*'Expenses Summary'!$D70))</f>
        <v>1487.6000000000001</v>
      </c>
      <c r="H114" s="64">
        <f>IF('Expenses Summary'!$D70="","",IF('Cash Flow %s Yr1'!H114="","",'Cash Flow %s Yr1'!H114*'Expenses Summary'!$D70))</f>
        <v>1487.6000000000001</v>
      </c>
      <c r="I114" s="64">
        <f>IF('Expenses Summary'!$D70="","",IF('Cash Flow %s Yr1'!I114="","",'Cash Flow %s Yr1'!I114*'Expenses Summary'!$D70))</f>
        <v>1487.6000000000001</v>
      </c>
      <c r="J114" s="64">
        <f>IF('Expenses Summary'!$D70="","",IF('Cash Flow %s Yr1'!J114="","",'Cash Flow %s Yr1'!J114*'Expenses Summary'!$D70))</f>
        <v>1487.6000000000001</v>
      </c>
      <c r="K114" s="64">
        <f>IF('Expenses Summary'!$D70="","",IF('Cash Flow %s Yr1'!K114="","",'Cash Flow %s Yr1'!K114*'Expenses Summary'!$D70))</f>
        <v>1487.6000000000001</v>
      </c>
      <c r="L114" s="64">
        <f>IF('Expenses Summary'!$D70="","",IF('Cash Flow %s Yr1'!L114="","",'Cash Flow %s Yr1'!L114*'Expenses Summary'!$D70))</f>
        <v>1487.6000000000001</v>
      </c>
      <c r="M114" s="64">
        <f>IF('Expenses Summary'!$D70="","",IF('Cash Flow %s Yr1'!M114="","",'Cash Flow %s Yr1'!M114*'Expenses Summary'!$D70))</f>
        <v>1487.6000000000001</v>
      </c>
      <c r="N114" s="64">
        <f>IF('Expenses Summary'!$D70="","",IF('Cash Flow %s Yr1'!N114="","",'Cash Flow %s Yr1'!N114*'Expenses Summary'!$D70))</f>
        <v>0</v>
      </c>
      <c r="O114" s="64">
        <f>IF('Expenses Summary'!$D70="","",IF('Cash Flow %s Yr1'!O114="","",'Cash Flow %s Yr1'!O114*'Expenses Summary'!$D70))</f>
        <v>0</v>
      </c>
      <c r="P114" s="129"/>
      <c r="Q114" s="129"/>
      <c r="R114" s="129"/>
      <c r="S114" s="111">
        <f>IF(SUM(D114:R114)&gt;0,SUM(D114:R114)/'Expenses Summary'!$D70,"")</f>
        <v>1.0000000000000002</v>
      </c>
    </row>
    <row r="115" spans="1:19" s="31" customFormat="1" x14ac:dyDescent="0.2">
      <c r="A115" s="36"/>
      <c r="B115" s="139"/>
      <c r="C115" s="139"/>
      <c r="D115" s="64"/>
      <c r="E115" s="64"/>
      <c r="F115" s="64"/>
      <c r="G115" s="64"/>
      <c r="H115" s="64"/>
      <c r="I115" s="64"/>
      <c r="J115" s="64"/>
      <c r="K115" s="64"/>
      <c r="L115" s="64"/>
      <c r="M115" s="64"/>
      <c r="N115" s="64"/>
      <c r="O115" s="64"/>
      <c r="P115" s="129"/>
      <c r="Q115" s="129"/>
      <c r="R115" s="129"/>
      <c r="S115" s="111"/>
    </row>
    <row r="116" spans="1:19" s="31" customFormat="1" x14ac:dyDescent="0.2">
      <c r="A116" s="36"/>
      <c r="B116" s="139" t="str">
        <f>'Expenses Summary'!B71</f>
        <v>5500</v>
      </c>
      <c r="C116" s="139" t="str">
        <f>'Expenses Summary'!C71</f>
        <v>Operation and Housekeeping Services/Supplies</v>
      </c>
      <c r="D116" s="64">
        <f>IF('Expenses Summary'!$D71="","",IF('Cash Flow %s Yr1'!D116="","",'Cash Flow %s Yr1'!D116*'Expenses Summary'!$D71))</f>
        <v>693.29900000000009</v>
      </c>
      <c r="E116" s="64">
        <f>IF('Expenses Summary'!$D71="","",IF('Cash Flow %s Yr1'!E116="","",'Cash Flow %s Yr1'!E116*'Expenses Summary'!$D71))</f>
        <v>693.29900000000009</v>
      </c>
      <c r="F116" s="64">
        <f>IF('Expenses Summary'!$D71="","",IF('Cash Flow %s Yr1'!F116="","",'Cash Flow %s Yr1'!F116*'Expenses Summary'!$D71))</f>
        <v>693.29900000000009</v>
      </c>
      <c r="G116" s="64">
        <f>IF('Expenses Summary'!$D71="","",IF('Cash Flow %s Yr1'!G116="","",'Cash Flow %s Yr1'!G116*'Expenses Summary'!$D71))</f>
        <v>693.29900000000009</v>
      </c>
      <c r="H116" s="64">
        <f>IF('Expenses Summary'!$D71="","",IF('Cash Flow %s Yr1'!H116="","",'Cash Flow %s Yr1'!H116*'Expenses Summary'!$D71))</f>
        <v>693.29900000000009</v>
      </c>
      <c r="I116" s="64">
        <f>IF('Expenses Summary'!$D71="","",IF('Cash Flow %s Yr1'!I116="","",'Cash Flow %s Yr1'!I116*'Expenses Summary'!$D71))</f>
        <v>693.29900000000009</v>
      </c>
      <c r="J116" s="64">
        <f>IF('Expenses Summary'!$D71="","",IF('Cash Flow %s Yr1'!J116="","",'Cash Flow %s Yr1'!J116*'Expenses Summary'!$D71))</f>
        <v>693.29900000000009</v>
      </c>
      <c r="K116" s="64">
        <f>IF('Expenses Summary'!$D71="","",IF('Cash Flow %s Yr1'!K116="","",'Cash Flow %s Yr1'!K116*'Expenses Summary'!$D71))</f>
        <v>693.29900000000009</v>
      </c>
      <c r="L116" s="64">
        <f>IF('Expenses Summary'!$D71="","",IF('Cash Flow %s Yr1'!L116="","",'Cash Flow %s Yr1'!L116*'Expenses Summary'!$D71))</f>
        <v>701.65200000000004</v>
      </c>
      <c r="M116" s="64">
        <f>IF('Expenses Summary'!$D71="","",IF('Cash Flow %s Yr1'!M116="","",'Cash Flow %s Yr1'!M116*'Expenses Summary'!$D71))</f>
        <v>701.65200000000004</v>
      </c>
      <c r="N116" s="64">
        <f>IF('Expenses Summary'!$D71="","",IF('Cash Flow %s Yr1'!N116="","",'Cash Flow %s Yr1'!N116*'Expenses Summary'!$D71))</f>
        <v>701.65200000000004</v>
      </c>
      <c r="O116" s="64">
        <f>IF('Expenses Summary'!$D71="","",IF('Cash Flow %s Yr1'!O116="","",'Cash Flow %s Yr1'!O116*'Expenses Summary'!$D71))</f>
        <v>701.65200000000004</v>
      </c>
      <c r="P116" s="129"/>
      <c r="Q116" s="129"/>
      <c r="R116" s="129"/>
      <c r="S116" s="111">
        <f>IF(SUM(D116:R116)&gt;0,SUM(D116:R116)/'Expenses Summary'!$D71,"")</f>
        <v>1</v>
      </c>
    </row>
    <row r="117" spans="1:19" s="31" customFormat="1" x14ac:dyDescent="0.2">
      <c r="A117" s="36"/>
      <c r="B117" s="139" t="str">
        <f>'Expenses Summary'!B72</f>
        <v>5501</v>
      </c>
      <c r="C117" s="139" t="str">
        <f>'Expenses Summary'!C72</f>
        <v>Utilities</v>
      </c>
      <c r="D117" s="64">
        <f>IF('Expenses Summary'!$D72="","",IF('Cash Flow %s Yr1'!D117="","",'Cash Flow %s Yr1'!D117*'Expenses Summary'!$D72))</f>
        <v>0</v>
      </c>
      <c r="E117" s="64">
        <f>IF('Expenses Summary'!$D72="","",IF('Cash Flow %s Yr1'!E117="","",'Cash Flow %s Yr1'!E117*'Expenses Summary'!$D72))</f>
        <v>0</v>
      </c>
      <c r="F117" s="64">
        <f>IF('Expenses Summary'!$D72="","",IF('Cash Flow %s Yr1'!F117="","",'Cash Flow %s Yr1'!F117*'Expenses Summary'!$D72))</f>
        <v>0</v>
      </c>
      <c r="G117" s="64">
        <f>IF('Expenses Summary'!$D72="","",IF('Cash Flow %s Yr1'!G117="","",'Cash Flow %s Yr1'!G117*'Expenses Summary'!$D72))</f>
        <v>0</v>
      </c>
      <c r="H117" s="64">
        <f>IF('Expenses Summary'!$D72="","",IF('Cash Flow %s Yr1'!H117="","",'Cash Flow %s Yr1'!H117*'Expenses Summary'!$D72))</f>
        <v>0</v>
      </c>
      <c r="I117" s="64">
        <f>IF('Expenses Summary'!$D72="","",IF('Cash Flow %s Yr1'!I117="","",'Cash Flow %s Yr1'!I117*'Expenses Summary'!$D72))</f>
        <v>0</v>
      </c>
      <c r="J117" s="64">
        <f>IF('Expenses Summary'!$D72="","",IF('Cash Flow %s Yr1'!J117="","",'Cash Flow %s Yr1'!J117*'Expenses Summary'!$D72))</f>
        <v>0</v>
      </c>
      <c r="K117" s="64">
        <f>IF('Expenses Summary'!$D72="","",IF('Cash Flow %s Yr1'!K117="","",'Cash Flow %s Yr1'!K117*'Expenses Summary'!$D72))</f>
        <v>0</v>
      </c>
      <c r="L117" s="64">
        <f>IF('Expenses Summary'!$D72="","",IF('Cash Flow %s Yr1'!L117="","",'Cash Flow %s Yr1'!L117*'Expenses Summary'!$D72))</f>
        <v>0</v>
      </c>
      <c r="M117" s="64">
        <f>IF('Expenses Summary'!$D72="","",IF('Cash Flow %s Yr1'!M117="","",'Cash Flow %s Yr1'!M117*'Expenses Summary'!$D72))</f>
        <v>0</v>
      </c>
      <c r="N117" s="64">
        <f>IF('Expenses Summary'!$D72="","",IF('Cash Flow %s Yr1'!N117="","",'Cash Flow %s Yr1'!N117*'Expenses Summary'!$D72))</f>
        <v>0</v>
      </c>
      <c r="O117" s="64">
        <f>IF('Expenses Summary'!$D72="","",IF('Cash Flow %s Yr1'!O117="","",'Cash Flow %s Yr1'!O117*'Expenses Summary'!$D72))</f>
        <v>0</v>
      </c>
      <c r="P117" s="129"/>
      <c r="Q117" s="129"/>
      <c r="R117" s="129"/>
      <c r="S117" s="111" t="str">
        <f>IF(SUM(D117:R117)&gt;0,SUM(D117:R117)/'Expenses Summary'!$D72,"")</f>
        <v/>
      </c>
    </row>
    <row r="118" spans="1:19" s="31" customFormat="1" x14ac:dyDescent="0.2">
      <c r="A118" s="36"/>
      <c r="B118" s="139" t="str">
        <f>'Expenses Summary'!B73</f>
        <v>5505</v>
      </c>
      <c r="C118" s="139" t="str">
        <f>'Expenses Summary'!C73</f>
        <v>Student Transportation / Field Trips</v>
      </c>
      <c r="D118" s="64">
        <f>IF('Expenses Summary'!$D73="","",IF('Cash Flow %s Yr1'!D118="","",'Cash Flow %s Yr1'!D118*'Expenses Summary'!$D73))</f>
        <v>0</v>
      </c>
      <c r="E118" s="64">
        <f>IF('Expenses Summary'!$D73="","",IF('Cash Flow %s Yr1'!E118="","",'Cash Flow %s Yr1'!E118*'Expenses Summary'!$D73))</f>
        <v>0</v>
      </c>
      <c r="F118" s="64">
        <f>IF('Expenses Summary'!$D73="","",IF('Cash Flow %s Yr1'!F118="","",'Cash Flow %s Yr1'!F118*'Expenses Summary'!$D73))</f>
        <v>0</v>
      </c>
      <c r="G118" s="64">
        <f>IF('Expenses Summary'!$D73="","",IF('Cash Flow %s Yr1'!G118="","",'Cash Flow %s Yr1'!G118*'Expenses Summary'!$D73))</f>
        <v>0</v>
      </c>
      <c r="H118" s="64">
        <f>IF('Expenses Summary'!$D73="","",IF('Cash Flow %s Yr1'!H118="","",'Cash Flow %s Yr1'!H118*'Expenses Summary'!$D73))</f>
        <v>0</v>
      </c>
      <c r="I118" s="64">
        <f>IF('Expenses Summary'!$D73="","",IF('Cash Flow %s Yr1'!I118="","",'Cash Flow %s Yr1'!I118*'Expenses Summary'!$D73))</f>
        <v>0</v>
      </c>
      <c r="J118" s="64">
        <f>IF('Expenses Summary'!$D73="","",IF('Cash Flow %s Yr1'!J118="","",'Cash Flow %s Yr1'!J118*'Expenses Summary'!$D73))</f>
        <v>0</v>
      </c>
      <c r="K118" s="64">
        <f>IF('Expenses Summary'!$D73="","",IF('Cash Flow %s Yr1'!K118="","",'Cash Flow %s Yr1'!K118*'Expenses Summary'!$D73))</f>
        <v>0</v>
      </c>
      <c r="L118" s="64">
        <f>IF('Expenses Summary'!$D73="","",IF('Cash Flow %s Yr1'!L118="","",'Cash Flow %s Yr1'!L118*'Expenses Summary'!$D73))</f>
        <v>0</v>
      </c>
      <c r="M118" s="64">
        <f>IF('Expenses Summary'!$D73="","",IF('Cash Flow %s Yr1'!M118="","",'Cash Flow %s Yr1'!M118*'Expenses Summary'!$D73))</f>
        <v>0</v>
      </c>
      <c r="N118" s="64">
        <f>IF('Expenses Summary'!$D73="","",IF('Cash Flow %s Yr1'!N118="","",'Cash Flow %s Yr1'!N118*'Expenses Summary'!$D73))</f>
        <v>0</v>
      </c>
      <c r="O118" s="64">
        <f>IF('Expenses Summary'!$D73="","",IF('Cash Flow %s Yr1'!O118="","",'Cash Flow %s Yr1'!O118*'Expenses Summary'!$D73))</f>
        <v>0</v>
      </c>
      <c r="P118" s="129"/>
      <c r="Q118" s="129"/>
      <c r="R118" s="129"/>
      <c r="S118" s="111" t="str">
        <f>IF(SUM(D118:R118)&gt;0,SUM(D118:R118)/'Expenses Summary'!$D73,"")</f>
        <v/>
      </c>
    </row>
    <row r="119" spans="1:19" s="31" customFormat="1" x14ac:dyDescent="0.2">
      <c r="A119" s="36"/>
      <c r="B119" s="139" t="str">
        <f>'Expenses Summary'!B74</f>
        <v>5600</v>
      </c>
      <c r="C119" s="139" t="str">
        <f>'Expenses Summary'!C74</f>
        <v>Space Rental/Leases Expense</v>
      </c>
      <c r="D119" s="64">
        <f>IF('Expenses Summary'!$D74="","",IF('Cash Flow %s Yr1'!D119="","",'Cash Flow %s Yr1'!D119*'Expenses Summary'!$D74))</f>
        <v>2553</v>
      </c>
      <c r="E119" s="64">
        <f>IF('Expenses Summary'!$D74="","",IF('Cash Flow %s Yr1'!E119="","",'Cash Flow %s Yr1'!E119*'Expenses Summary'!$D74))</f>
        <v>2553</v>
      </c>
      <c r="F119" s="64">
        <f>IF('Expenses Summary'!$D74="","",IF('Cash Flow %s Yr1'!F119="","",'Cash Flow %s Yr1'!F119*'Expenses Summary'!$D74))</f>
        <v>4595.3999999999996</v>
      </c>
      <c r="G119" s="64">
        <f>IF('Expenses Summary'!$D74="","",IF('Cash Flow %s Yr1'!G119="","",'Cash Flow %s Yr1'!G119*'Expenses Summary'!$D74))</f>
        <v>4595.3999999999996</v>
      </c>
      <c r="H119" s="64">
        <f>IF('Expenses Summary'!$D74="","",IF('Cash Flow %s Yr1'!H119="","",'Cash Flow %s Yr1'!H119*'Expenses Summary'!$D74))</f>
        <v>4595.3999999999996</v>
      </c>
      <c r="I119" s="64">
        <f>IF('Expenses Summary'!$D74="","",IF('Cash Flow %s Yr1'!I119="","",'Cash Flow %s Yr1'!I119*'Expenses Summary'!$D74))</f>
        <v>4595.3999999999996</v>
      </c>
      <c r="J119" s="64">
        <f>IF('Expenses Summary'!$D74="","",IF('Cash Flow %s Yr1'!J119="","",'Cash Flow %s Yr1'!J119*'Expenses Summary'!$D74))</f>
        <v>4595.3999999999996</v>
      </c>
      <c r="K119" s="64">
        <f>IF('Expenses Summary'!$D74="","",IF('Cash Flow %s Yr1'!K119="","",'Cash Flow %s Yr1'!K119*'Expenses Summary'!$D74))</f>
        <v>4595.3999999999996</v>
      </c>
      <c r="L119" s="64">
        <f>IF('Expenses Summary'!$D74="","",IF('Cash Flow %s Yr1'!L119="","",'Cash Flow %s Yr1'!L119*'Expenses Summary'!$D74))</f>
        <v>4595.3999999999996</v>
      </c>
      <c r="M119" s="64">
        <f>IF('Expenses Summary'!$D74="","",IF('Cash Flow %s Yr1'!M119="","",'Cash Flow %s Yr1'!M119*'Expenses Summary'!$D74))</f>
        <v>4595.3999999999996</v>
      </c>
      <c r="N119" s="64">
        <f>IF('Expenses Summary'!$D74="","",IF('Cash Flow %s Yr1'!N119="","",'Cash Flow %s Yr1'!N119*'Expenses Summary'!$D74))</f>
        <v>4595.3999999999996</v>
      </c>
      <c r="O119" s="64">
        <f>IF('Expenses Summary'!$D74="","",IF('Cash Flow %s Yr1'!O119="","",'Cash Flow %s Yr1'!O119*'Expenses Summary'!$D74))</f>
        <v>4595.3999999999996</v>
      </c>
      <c r="P119" s="129"/>
      <c r="Q119" s="129"/>
      <c r="R119" s="129"/>
      <c r="S119" s="111">
        <f>IF(SUM(D119:R119)&gt;0,SUM(D119:R119)/'Expenses Summary'!$D74,"")</f>
        <v>1.0000000000000002</v>
      </c>
    </row>
    <row r="120" spans="1:19" s="31" customFormat="1" x14ac:dyDescent="0.2">
      <c r="A120" s="36"/>
      <c r="B120" s="139" t="str">
        <f>'Expenses Summary'!B75</f>
        <v>5601</v>
      </c>
      <c r="C120" s="139" t="str">
        <f>'Expenses Summary'!C75</f>
        <v>Building Maintenance</v>
      </c>
      <c r="D120" s="64">
        <f>IF('Expenses Summary'!$D75="","",IF('Cash Flow %s Yr1'!D120="","",'Cash Flow %s Yr1'!D120*'Expenses Summary'!$D75))</f>
        <v>66.317000000000007</v>
      </c>
      <c r="E120" s="64">
        <f>IF('Expenses Summary'!$D75="","",IF('Cash Flow %s Yr1'!E120="","",'Cash Flow %s Yr1'!E120*'Expenses Summary'!$D75))</f>
        <v>66.317000000000007</v>
      </c>
      <c r="F120" s="64">
        <f>IF('Expenses Summary'!$D75="","",IF('Cash Flow %s Yr1'!F120="","",'Cash Flow %s Yr1'!F120*'Expenses Summary'!$D75))</f>
        <v>66.317000000000007</v>
      </c>
      <c r="G120" s="64">
        <f>IF('Expenses Summary'!$D75="","",IF('Cash Flow %s Yr1'!G120="","",'Cash Flow %s Yr1'!G120*'Expenses Summary'!$D75))</f>
        <v>66.317000000000007</v>
      </c>
      <c r="H120" s="64">
        <f>IF('Expenses Summary'!$D75="","",IF('Cash Flow %s Yr1'!H120="","",'Cash Flow %s Yr1'!H120*'Expenses Summary'!$D75))</f>
        <v>66.317000000000007</v>
      </c>
      <c r="I120" s="64">
        <f>IF('Expenses Summary'!$D75="","",IF('Cash Flow %s Yr1'!I120="","",'Cash Flow %s Yr1'!I120*'Expenses Summary'!$D75))</f>
        <v>66.317000000000007</v>
      </c>
      <c r="J120" s="64">
        <f>IF('Expenses Summary'!$D75="","",IF('Cash Flow %s Yr1'!J120="","",'Cash Flow %s Yr1'!J120*'Expenses Summary'!$D75))</f>
        <v>66.317000000000007</v>
      </c>
      <c r="K120" s="64">
        <f>IF('Expenses Summary'!$D75="","",IF('Cash Flow %s Yr1'!K120="","",'Cash Flow %s Yr1'!K120*'Expenses Summary'!$D75))</f>
        <v>66.317000000000007</v>
      </c>
      <c r="L120" s="64">
        <f>IF('Expenses Summary'!$D75="","",IF('Cash Flow %s Yr1'!L120="","",'Cash Flow %s Yr1'!L120*'Expenses Summary'!$D75))</f>
        <v>67.116</v>
      </c>
      <c r="M120" s="64">
        <f>IF('Expenses Summary'!$D75="","",IF('Cash Flow %s Yr1'!M120="","",'Cash Flow %s Yr1'!M120*'Expenses Summary'!$D75))</f>
        <v>67.116</v>
      </c>
      <c r="N120" s="64">
        <f>IF('Expenses Summary'!$D75="","",IF('Cash Flow %s Yr1'!N120="","",'Cash Flow %s Yr1'!N120*'Expenses Summary'!$D75))</f>
        <v>67.116</v>
      </c>
      <c r="O120" s="64">
        <f>IF('Expenses Summary'!$D75="","",IF('Cash Flow %s Yr1'!O120="","",'Cash Flow %s Yr1'!O120*'Expenses Summary'!$D75))</f>
        <v>67.116</v>
      </c>
      <c r="P120" s="129"/>
      <c r="Q120" s="129"/>
      <c r="R120" s="129"/>
      <c r="S120" s="111">
        <f>IF(SUM(D120:R120)&gt;0,SUM(D120:R120)/'Expenses Summary'!$D75,"")</f>
        <v>1</v>
      </c>
    </row>
    <row r="121" spans="1:19" s="31" customFormat="1" x14ac:dyDescent="0.2">
      <c r="A121" s="36"/>
      <c r="B121" s="139" t="str">
        <f>'Expenses Summary'!B76</f>
        <v>5602</v>
      </c>
      <c r="C121" s="139" t="str">
        <f>'Expenses Summary'!C76</f>
        <v>Other Space Rental</v>
      </c>
      <c r="D121" s="64">
        <f>IF('Expenses Summary'!$D76="","",IF('Cash Flow %s Yr1'!D121="","",'Cash Flow %s Yr1'!D121*'Expenses Summary'!$D76))</f>
        <v>92.960000000000008</v>
      </c>
      <c r="E121" s="64">
        <f>IF('Expenses Summary'!$D76="","",IF('Cash Flow %s Yr1'!E121="","",'Cash Flow %s Yr1'!E121*'Expenses Summary'!$D76))</f>
        <v>92.960000000000008</v>
      </c>
      <c r="F121" s="64">
        <f>IF('Expenses Summary'!$D76="","",IF('Cash Flow %s Yr1'!F121="","",'Cash Flow %s Yr1'!F121*'Expenses Summary'!$D76))</f>
        <v>92.960000000000008</v>
      </c>
      <c r="G121" s="64">
        <f>IF('Expenses Summary'!$D76="","",IF('Cash Flow %s Yr1'!G121="","",'Cash Flow %s Yr1'!G121*'Expenses Summary'!$D76))</f>
        <v>92.960000000000008</v>
      </c>
      <c r="H121" s="64">
        <f>IF('Expenses Summary'!$D76="","",IF('Cash Flow %s Yr1'!H121="","",'Cash Flow %s Yr1'!H121*'Expenses Summary'!$D76))</f>
        <v>92.960000000000008</v>
      </c>
      <c r="I121" s="64">
        <f>IF('Expenses Summary'!$D76="","",IF('Cash Flow %s Yr1'!I121="","",'Cash Flow %s Yr1'!I121*'Expenses Summary'!$D76))</f>
        <v>92.960000000000008</v>
      </c>
      <c r="J121" s="64">
        <f>IF('Expenses Summary'!$D76="","",IF('Cash Flow %s Yr1'!J121="","",'Cash Flow %s Yr1'!J121*'Expenses Summary'!$D76))</f>
        <v>92.960000000000008</v>
      </c>
      <c r="K121" s="64">
        <f>IF('Expenses Summary'!$D76="","",IF('Cash Flow %s Yr1'!K121="","",'Cash Flow %s Yr1'!K121*'Expenses Summary'!$D76))</f>
        <v>92.960000000000008</v>
      </c>
      <c r="L121" s="64">
        <f>IF('Expenses Summary'!$D76="","",IF('Cash Flow %s Yr1'!L121="","",'Cash Flow %s Yr1'!L121*'Expenses Summary'!$D76))</f>
        <v>94.080000000000013</v>
      </c>
      <c r="M121" s="64">
        <f>IF('Expenses Summary'!$D76="","",IF('Cash Flow %s Yr1'!M121="","",'Cash Flow %s Yr1'!M121*'Expenses Summary'!$D76))</f>
        <v>94.080000000000013</v>
      </c>
      <c r="N121" s="64">
        <f>IF('Expenses Summary'!$D76="","",IF('Cash Flow %s Yr1'!N121="","",'Cash Flow %s Yr1'!N121*'Expenses Summary'!$D76))</f>
        <v>94.080000000000013</v>
      </c>
      <c r="O121" s="64">
        <f>IF('Expenses Summary'!$D76="","",IF('Cash Flow %s Yr1'!O121="","",'Cash Flow %s Yr1'!O121*'Expenses Summary'!$D76))</f>
        <v>94.080000000000013</v>
      </c>
      <c r="P121" s="129"/>
      <c r="Q121" s="129"/>
      <c r="R121" s="129"/>
      <c r="S121" s="111">
        <f>IF(SUM(D121:R121)&gt;0,SUM(D121:R121)/'Expenses Summary'!$D76,"")</f>
        <v>1.0000000000000002</v>
      </c>
    </row>
    <row r="122" spans="1:19" s="31" customFormat="1" x14ac:dyDescent="0.2">
      <c r="A122" s="36"/>
      <c r="B122" s="139" t="str">
        <f>'Expenses Summary'!B77</f>
        <v>5605</v>
      </c>
      <c r="C122" s="139" t="str">
        <f>'Expenses Summary'!C77</f>
        <v>Equipment Rental/Lease Expense</v>
      </c>
      <c r="D122" s="64">
        <f>IF('Expenses Summary'!$D77="","",IF('Cash Flow %s Yr1'!D122="","",'Cash Flow %s Yr1'!D122*'Expenses Summary'!$D77))</f>
        <v>0</v>
      </c>
      <c r="E122" s="64">
        <f>IF('Expenses Summary'!$D77="","",IF('Cash Flow %s Yr1'!E122="","",'Cash Flow %s Yr1'!E122*'Expenses Summary'!$D77))</f>
        <v>0</v>
      </c>
      <c r="F122" s="64">
        <f>IF('Expenses Summary'!$D77="","",IF('Cash Flow %s Yr1'!F122="","",'Cash Flow %s Yr1'!F122*'Expenses Summary'!$D77))</f>
        <v>135.80000000000001</v>
      </c>
      <c r="G122" s="64">
        <f>IF('Expenses Summary'!$D77="","",IF('Cash Flow %s Yr1'!G122="","",'Cash Flow %s Yr1'!G122*'Expenses Summary'!$D77))</f>
        <v>135.80000000000001</v>
      </c>
      <c r="H122" s="64">
        <f>IF('Expenses Summary'!$D77="","",IF('Cash Flow %s Yr1'!H122="","",'Cash Flow %s Yr1'!H122*'Expenses Summary'!$D77))</f>
        <v>135.80000000000001</v>
      </c>
      <c r="I122" s="64">
        <f>IF('Expenses Summary'!$D77="","",IF('Cash Flow %s Yr1'!I122="","",'Cash Flow %s Yr1'!I122*'Expenses Summary'!$D77))</f>
        <v>135.80000000000001</v>
      </c>
      <c r="J122" s="64">
        <f>IF('Expenses Summary'!$D77="","",IF('Cash Flow %s Yr1'!J122="","",'Cash Flow %s Yr1'!J122*'Expenses Summary'!$D77))</f>
        <v>135.80000000000001</v>
      </c>
      <c r="K122" s="64">
        <f>IF('Expenses Summary'!$D77="","",IF('Cash Flow %s Yr1'!K122="","",'Cash Flow %s Yr1'!K122*'Expenses Summary'!$D77))</f>
        <v>135.80000000000001</v>
      </c>
      <c r="L122" s="64">
        <f>IF('Expenses Summary'!$D77="","",IF('Cash Flow %s Yr1'!L122="","",'Cash Flow %s Yr1'!L122*'Expenses Summary'!$D77))</f>
        <v>135.80000000000001</v>
      </c>
      <c r="M122" s="64">
        <f>IF('Expenses Summary'!$D77="","",IF('Cash Flow %s Yr1'!M122="","",'Cash Flow %s Yr1'!M122*'Expenses Summary'!$D77))</f>
        <v>135.80000000000001</v>
      </c>
      <c r="N122" s="64">
        <f>IF('Expenses Summary'!$D77="","",IF('Cash Flow %s Yr1'!N122="","",'Cash Flow %s Yr1'!N122*'Expenses Summary'!$D77))</f>
        <v>135.80000000000001</v>
      </c>
      <c r="O122" s="64">
        <f>IF('Expenses Summary'!$D77="","",IF('Cash Flow %s Yr1'!O122="","",'Cash Flow %s Yr1'!O122*'Expenses Summary'!$D77))</f>
        <v>135.80000000000001</v>
      </c>
      <c r="P122" s="129"/>
      <c r="Q122" s="129"/>
      <c r="R122" s="129"/>
      <c r="S122" s="111">
        <f>IF(SUM(D122:R122)&gt;0,SUM(D122:R122)/'Expenses Summary'!$D77,"")</f>
        <v>0.99999999999999978</v>
      </c>
    </row>
    <row r="123" spans="1:19" s="31" customFormat="1" x14ac:dyDescent="0.2">
      <c r="A123" s="36"/>
      <c r="B123" s="139" t="str">
        <f>'Expenses Summary'!B78</f>
        <v>5610</v>
      </c>
      <c r="C123" s="139" t="str">
        <f>'Expenses Summary'!C78</f>
        <v>Equipment Repair</v>
      </c>
      <c r="D123" s="64">
        <f>IF('Expenses Summary'!$D78="","",IF('Cash Flow %s Yr1'!D123="","",'Cash Flow %s Yr1'!D123*'Expenses Summary'!$D78))</f>
        <v>59.096000000000004</v>
      </c>
      <c r="E123" s="64">
        <f>IF('Expenses Summary'!$D78="","",IF('Cash Flow %s Yr1'!E123="","",'Cash Flow %s Yr1'!E123*'Expenses Summary'!$D78))</f>
        <v>59.096000000000004</v>
      </c>
      <c r="F123" s="64">
        <f>IF('Expenses Summary'!$D78="","",IF('Cash Flow %s Yr1'!F123="","",'Cash Flow %s Yr1'!F123*'Expenses Summary'!$D78))</f>
        <v>59.096000000000004</v>
      </c>
      <c r="G123" s="64">
        <f>IF('Expenses Summary'!$D78="","",IF('Cash Flow %s Yr1'!G123="","",'Cash Flow %s Yr1'!G123*'Expenses Summary'!$D78))</f>
        <v>59.096000000000004</v>
      </c>
      <c r="H123" s="64">
        <f>IF('Expenses Summary'!$D78="","",IF('Cash Flow %s Yr1'!H123="","",'Cash Flow %s Yr1'!H123*'Expenses Summary'!$D78))</f>
        <v>59.096000000000004</v>
      </c>
      <c r="I123" s="64">
        <f>IF('Expenses Summary'!$D78="","",IF('Cash Flow %s Yr1'!I123="","",'Cash Flow %s Yr1'!I123*'Expenses Summary'!$D78))</f>
        <v>59.096000000000004</v>
      </c>
      <c r="J123" s="64">
        <f>IF('Expenses Summary'!$D78="","",IF('Cash Flow %s Yr1'!J123="","",'Cash Flow %s Yr1'!J123*'Expenses Summary'!$D78))</f>
        <v>59.096000000000004</v>
      </c>
      <c r="K123" s="64">
        <f>IF('Expenses Summary'!$D78="","",IF('Cash Flow %s Yr1'!K123="","",'Cash Flow %s Yr1'!K123*'Expenses Summary'!$D78))</f>
        <v>59.096000000000004</v>
      </c>
      <c r="L123" s="64">
        <f>IF('Expenses Summary'!$D78="","",IF('Cash Flow %s Yr1'!L123="","",'Cash Flow %s Yr1'!L123*'Expenses Summary'!$D78))</f>
        <v>59.808000000000007</v>
      </c>
      <c r="M123" s="64">
        <f>IF('Expenses Summary'!$D78="","",IF('Cash Flow %s Yr1'!M123="","",'Cash Flow %s Yr1'!M123*'Expenses Summary'!$D78))</f>
        <v>59.808000000000007</v>
      </c>
      <c r="N123" s="64">
        <f>IF('Expenses Summary'!$D78="","",IF('Cash Flow %s Yr1'!N123="","",'Cash Flow %s Yr1'!N123*'Expenses Summary'!$D78))</f>
        <v>59.808000000000007</v>
      </c>
      <c r="O123" s="64">
        <f>IF('Expenses Summary'!$D78="","",IF('Cash Flow %s Yr1'!O123="","",'Cash Flow %s Yr1'!O123*'Expenses Summary'!$D78))</f>
        <v>59.808000000000007</v>
      </c>
      <c r="P123" s="129"/>
      <c r="Q123" s="129"/>
      <c r="R123" s="129"/>
      <c r="S123" s="111">
        <f>IF(SUM(D123:R123)&gt;0,SUM(D123:R123)/'Expenses Summary'!$D78,"")</f>
        <v>1</v>
      </c>
    </row>
    <row r="124" spans="1:19" s="31" customFormat="1" x14ac:dyDescent="0.2">
      <c r="A124" s="36"/>
      <c r="B124" s="139" t="str">
        <f>'Expenses Summary'!B79</f>
        <v>5800</v>
      </c>
      <c r="C124" s="139" t="str">
        <f>'Expenses Summary'!C79</f>
        <v>Professional/Consulting Services and Operating Expenditures</v>
      </c>
      <c r="D124" s="64">
        <f>IF('Expenses Summary'!$D79="","",IF('Cash Flow %s Yr1'!D124="","",'Cash Flow %s Yr1'!D124*'Expenses Summary'!$D79))</f>
        <v>2351.5</v>
      </c>
      <c r="E124" s="64">
        <f>IF('Expenses Summary'!$D79="","",IF('Cash Flow %s Yr1'!E124="","",'Cash Flow %s Yr1'!E124*'Expenses Summary'!$D79))</f>
        <v>2351.5</v>
      </c>
      <c r="F124" s="64">
        <f>IF('Expenses Summary'!$D79="","",IF('Cash Flow %s Yr1'!F124="","",'Cash Flow %s Yr1'!F124*'Expenses Summary'!$D79))</f>
        <v>4232.7</v>
      </c>
      <c r="G124" s="64">
        <f>IF('Expenses Summary'!$D79="","",IF('Cash Flow %s Yr1'!G124="","",'Cash Flow %s Yr1'!G124*'Expenses Summary'!$D79))</f>
        <v>4232.7</v>
      </c>
      <c r="H124" s="64">
        <f>IF('Expenses Summary'!$D79="","",IF('Cash Flow %s Yr1'!H124="","",'Cash Flow %s Yr1'!H124*'Expenses Summary'!$D79))</f>
        <v>4232.7</v>
      </c>
      <c r="I124" s="64">
        <f>IF('Expenses Summary'!$D79="","",IF('Cash Flow %s Yr1'!I124="","",'Cash Flow %s Yr1'!I124*'Expenses Summary'!$D79))</f>
        <v>4232.7</v>
      </c>
      <c r="J124" s="64">
        <f>IF('Expenses Summary'!$D79="","",IF('Cash Flow %s Yr1'!J124="","",'Cash Flow %s Yr1'!J124*'Expenses Summary'!$D79))</f>
        <v>4232.7</v>
      </c>
      <c r="K124" s="64">
        <f>IF('Expenses Summary'!$D79="","",IF('Cash Flow %s Yr1'!K124="","",'Cash Flow %s Yr1'!K124*'Expenses Summary'!$D79))</f>
        <v>4232.7</v>
      </c>
      <c r="L124" s="64">
        <f>IF('Expenses Summary'!$D79="","",IF('Cash Flow %s Yr1'!L124="","",'Cash Flow %s Yr1'!L124*'Expenses Summary'!$D79))</f>
        <v>4232.7</v>
      </c>
      <c r="M124" s="64">
        <f>IF('Expenses Summary'!$D79="","",IF('Cash Flow %s Yr1'!M124="","",'Cash Flow %s Yr1'!M124*'Expenses Summary'!$D79))</f>
        <v>4232.7</v>
      </c>
      <c r="N124" s="64">
        <f>IF('Expenses Summary'!$D79="","",IF('Cash Flow %s Yr1'!N124="","",'Cash Flow %s Yr1'!N124*'Expenses Summary'!$D79))</f>
        <v>4232.7</v>
      </c>
      <c r="O124" s="64">
        <f>IF('Expenses Summary'!$D79="","",IF('Cash Flow %s Yr1'!O124="","",'Cash Flow %s Yr1'!O124*'Expenses Summary'!$D79))</f>
        <v>4232.7</v>
      </c>
      <c r="P124" s="129"/>
      <c r="Q124" s="129"/>
      <c r="R124" s="129"/>
      <c r="S124" s="111">
        <f>IF(SUM(D124:R124)&gt;0,SUM(D124:R124)/'Expenses Summary'!$D79,"")</f>
        <v>0.99999999999999989</v>
      </c>
    </row>
    <row r="125" spans="1:19" s="31" customFormat="1" x14ac:dyDescent="0.2">
      <c r="A125" s="36"/>
      <c r="B125" s="139" t="str">
        <f>'Expenses Summary'!B80</f>
        <v>5803</v>
      </c>
      <c r="C125" s="139" t="str">
        <f>'Expenses Summary'!C80</f>
        <v>Banking and Payroll Service Fees</v>
      </c>
      <c r="D125" s="64">
        <f>IF('Expenses Summary'!$D80="","",IF('Cash Flow %s Yr1'!D125="","",'Cash Flow %s Yr1'!D125*'Expenses Summary'!$D80))</f>
        <v>122.15</v>
      </c>
      <c r="E125" s="64">
        <f>IF('Expenses Summary'!$D80="","",IF('Cash Flow %s Yr1'!E125="","",'Cash Flow %s Yr1'!E125*'Expenses Summary'!$D80))</f>
        <v>122.15</v>
      </c>
      <c r="F125" s="64">
        <f>IF('Expenses Summary'!$D80="","",IF('Cash Flow %s Yr1'!F125="","",'Cash Flow %s Yr1'!F125*'Expenses Summary'!$D80))</f>
        <v>219.87</v>
      </c>
      <c r="G125" s="64">
        <f>IF('Expenses Summary'!$D80="","",IF('Cash Flow %s Yr1'!G125="","",'Cash Flow %s Yr1'!G125*'Expenses Summary'!$D80))</f>
        <v>219.87</v>
      </c>
      <c r="H125" s="64">
        <f>IF('Expenses Summary'!$D80="","",IF('Cash Flow %s Yr1'!H125="","",'Cash Flow %s Yr1'!H125*'Expenses Summary'!$D80))</f>
        <v>219.87</v>
      </c>
      <c r="I125" s="64">
        <f>IF('Expenses Summary'!$D80="","",IF('Cash Flow %s Yr1'!I125="","",'Cash Flow %s Yr1'!I125*'Expenses Summary'!$D80))</f>
        <v>219.87</v>
      </c>
      <c r="J125" s="64">
        <f>IF('Expenses Summary'!$D80="","",IF('Cash Flow %s Yr1'!J125="","",'Cash Flow %s Yr1'!J125*'Expenses Summary'!$D80))</f>
        <v>219.87</v>
      </c>
      <c r="K125" s="64">
        <f>IF('Expenses Summary'!$D80="","",IF('Cash Flow %s Yr1'!K125="","",'Cash Flow %s Yr1'!K125*'Expenses Summary'!$D80))</f>
        <v>219.87</v>
      </c>
      <c r="L125" s="64">
        <f>IF('Expenses Summary'!$D80="","",IF('Cash Flow %s Yr1'!L125="","",'Cash Flow %s Yr1'!L125*'Expenses Summary'!$D80))</f>
        <v>219.87</v>
      </c>
      <c r="M125" s="64">
        <f>IF('Expenses Summary'!$D80="","",IF('Cash Flow %s Yr1'!M125="","",'Cash Flow %s Yr1'!M125*'Expenses Summary'!$D80))</f>
        <v>219.87</v>
      </c>
      <c r="N125" s="64">
        <f>IF('Expenses Summary'!$D80="","",IF('Cash Flow %s Yr1'!N125="","",'Cash Flow %s Yr1'!N125*'Expenses Summary'!$D80))</f>
        <v>219.87</v>
      </c>
      <c r="O125" s="64">
        <f>IF('Expenses Summary'!$D80="","",IF('Cash Flow %s Yr1'!O125="","",'Cash Flow %s Yr1'!O125*'Expenses Summary'!$D80))</f>
        <v>219.87</v>
      </c>
      <c r="P125" s="129"/>
      <c r="Q125" s="129"/>
      <c r="R125" s="129"/>
      <c r="S125" s="111">
        <f>IF(SUM(D125:R125)&gt;0,SUM(D125:R125)/'Expenses Summary'!$D80,"")</f>
        <v>0.99999999999999978</v>
      </c>
    </row>
    <row r="126" spans="1:19" s="31" customFormat="1" x14ac:dyDescent="0.2">
      <c r="A126" s="36"/>
      <c r="B126" s="139" t="str">
        <f>'Expenses Summary'!B81</f>
        <v>5805</v>
      </c>
      <c r="C126" s="139" t="str">
        <f>'Expenses Summary'!C81</f>
        <v>Legal Services and Audit</v>
      </c>
      <c r="D126" s="64">
        <f>IF('Expenses Summary'!$D81="","",IF('Cash Flow %s Yr1'!D126="","",'Cash Flow %s Yr1'!D126*'Expenses Summary'!$D81))</f>
        <v>0</v>
      </c>
      <c r="E126" s="64">
        <f>IF('Expenses Summary'!$D81="","",IF('Cash Flow %s Yr1'!E126="","",'Cash Flow %s Yr1'!E126*'Expenses Summary'!$D81))</f>
        <v>0</v>
      </c>
      <c r="F126" s="64">
        <f>IF('Expenses Summary'!$D81="","",IF('Cash Flow %s Yr1'!F126="","",'Cash Flow %s Yr1'!F126*'Expenses Summary'!$D81))</f>
        <v>0</v>
      </c>
      <c r="G126" s="64">
        <f>IF('Expenses Summary'!$D81="","",IF('Cash Flow %s Yr1'!G126="","",'Cash Flow %s Yr1'!G126*'Expenses Summary'!$D81))</f>
        <v>0</v>
      </c>
      <c r="H126" s="64">
        <f>IF('Expenses Summary'!$D81="","",IF('Cash Flow %s Yr1'!H126="","",'Cash Flow %s Yr1'!H126*'Expenses Summary'!$D81))</f>
        <v>1050</v>
      </c>
      <c r="I126" s="64">
        <f>IF('Expenses Summary'!$D81="","",IF('Cash Flow %s Yr1'!I126="","",'Cash Flow %s Yr1'!I126*'Expenses Summary'!$D81))</f>
        <v>1050</v>
      </c>
      <c r="J126" s="64">
        <f>IF('Expenses Summary'!$D81="","",IF('Cash Flow %s Yr1'!J126="","",'Cash Flow %s Yr1'!J126*'Expenses Summary'!$D81))</f>
        <v>1050</v>
      </c>
      <c r="K126" s="64">
        <f>IF('Expenses Summary'!$D81="","",IF('Cash Flow %s Yr1'!K126="","",'Cash Flow %s Yr1'!K126*'Expenses Summary'!$D81))</f>
        <v>1050</v>
      </c>
      <c r="L126" s="64">
        <f>IF('Expenses Summary'!$D81="","",IF('Cash Flow %s Yr1'!L126="","",'Cash Flow %s Yr1'!L126*'Expenses Summary'!$D81))</f>
        <v>1050</v>
      </c>
      <c r="M126" s="64">
        <f>IF('Expenses Summary'!$D81="","",IF('Cash Flow %s Yr1'!M126="","",'Cash Flow %s Yr1'!M126*'Expenses Summary'!$D81))</f>
        <v>1050</v>
      </c>
      <c r="N126" s="64">
        <f>IF('Expenses Summary'!$D81="","",IF('Cash Flow %s Yr1'!N126="","",'Cash Flow %s Yr1'!N126*'Expenses Summary'!$D81))</f>
        <v>1050</v>
      </c>
      <c r="O126" s="64">
        <f>IF('Expenses Summary'!$D81="","",IF('Cash Flow %s Yr1'!O126="","",'Cash Flow %s Yr1'!O126*'Expenses Summary'!$D81))</f>
        <v>1050</v>
      </c>
      <c r="P126" s="129"/>
      <c r="Q126" s="129"/>
      <c r="R126" s="129"/>
      <c r="S126" s="111">
        <f>IF(SUM(D126:R126)&gt;0,SUM(D126:R126)/'Expenses Summary'!$D81,"")</f>
        <v>1</v>
      </c>
    </row>
    <row r="127" spans="1:19" s="31" customFormat="1" x14ac:dyDescent="0.2">
      <c r="A127" s="36"/>
      <c r="B127" s="139" t="str">
        <f>'Expenses Summary'!B82</f>
        <v>5810</v>
      </c>
      <c r="C127" s="139" t="str">
        <f>'Expenses Summary'!C82</f>
        <v>Educational Consultants</v>
      </c>
      <c r="D127" s="64">
        <f>IF('Expenses Summary'!$D82="","",IF('Cash Flow %s Yr1'!D127="","",'Cash Flow %s Yr1'!D127*'Expenses Summary'!$D82))</f>
        <v>2165.3000000000002</v>
      </c>
      <c r="E127" s="64">
        <f>IF('Expenses Summary'!$D82="","",IF('Cash Flow %s Yr1'!E127="","",'Cash Flow %s Yr1'!E127*'Expenses Summary'!$D82))</f>
        <v>2165.3000000000002</v>
      </c>
      <c r="F127" s="64">
        <f>IF('Expenses Summary'!$D82="","",IF('Cash Flow %s Yr1'!F127="","",'Cash Flow %s Yr1'!F127*'Expenses Summary'!$D82))</f>
        <v>3897.54</v>
      </c>
      <c r="G127" s="64">
        <f>IF('Expenses Summary'!$D82="","",IF('Cash Flow %s Yr1'!G127="","",'Cash Flow %s Yr1'!G127*'Expenses Summary'!$D82))</f>
        <v>3897.54</v>
      </c>
      <c r="H127" s="64">
        <f>IF('Expenses Summary'!$D82="","",IF('Cash Flow %s Yr1'!H127="","",'Cash Flow %s Yr1'!H127*'Expenses Summary'!$D82))</f>
        <v>3897.54</v>
      </c>
      <c r="I127" s="64">
        <f>IF('Expenses Summary'!$D82="","",IF('Cash Flow %s Yr1'!I127="","",'Cash Flow %s Yr1'!I127*'Expenses Summary'!$D82))</f>
        <v>3897.54</v>
      </c>
      <c r="J127" s="64">
        <f>IF('Expenses Summary'!$D82="","",IF('Cash Flow %s Yr1'!J127="","",'Cash Flow %s Yr1'!J127*'Expenses Summary'!$D82))</f>
        <v>3897.54</v>
      </c>
      <c r="K127" s="64">
        <f>IF('Expenses Summary'!$D82="","",IF('Cash Flow %s Yr1'!K127="","",'Cash Flow %s Yr1'!K127*'Expenses Summary'!$D82))</f>
        <v>3897.54</v>
      </c>
      <c r="L127" s="64">
        <f>IF('Expenses Summary'!$D82="","",IF('Cash Flow %s Yr1'!L127="","",'Cash Flow %s Yr1'!L127*'Expenses Summary'!$D82))</f>
        <v>3897.54</v>
      </c>
      <c r="M127" s="64">
        <f>IF('Expenses Summary'!$D82="","",IF('Cash Flow %s Yr1'!M127="","",'Cash Flow %s Yr1'!M127*'Expenses Summary'!$D82))</f>
        <v>3897.54</v>
      </c>
      <c r="N127" s="64">
        <f>IF('Expenses Summary'!$D82="","",IF('Cash Flow %s Yr1'!N127="","",'Cash Flow %s Yr1'!N127*'Expenses Summary'!$D82))</f>
        <v>3897.54</v>
      </c>
      <c r="O127" s="64">
        <f>IF('Expenses Summary'!$D82="","",IF('Cash Flow %s Yr1'!O127="","",'Cash Flow %s Yr1'!O127*'Expenses Summary'!$D82))</f>
        <v>3897.54</v>
      </c>
      <c r="P127" s="129"/>
      <c r="Q127" s="129"/>
      <c r="R127" s="129"/>
      <c r="S127" s="111">
        <f>IF(SUM(D127:R127)&gt;0,SUM(D127:R127)/'Expenses Summary'!$D82,"")</f>
        <v>1.0000000000000002</v>
      </c>
    </row>
    <row r="128" spans="1:19" s="31" customFormat="1" x14ac:dyDescent="0.2">
      <c r="A128" s="36"/>
      <c r="B128" s="139" t="str">
        <f>'Expenses Summary'!B83</f>
        <v>5815</v>
      </c>
      <c r="C128" s="139" t="str">
        <f>'Expenses Summary'!C83</f>
        <v>Advertising / Recruiting</v>
      </c>
      <c r="D128" s="64">
        <f>IF('Expenses Summary'!$D83="","",IF('Cash Flow %s Yr1'!D128="","",'Cash Flow %s Yr1'!D128*'Expenses Summary'!$D83))</f>
        <v>0</v>
      </c>
      <c r="E128" s="64">
        <f>IF('Expenses Summary'!$D83="","",IF('Cash Flow %s Yr1'!E128="","",'Cash Flow %s Yr1'!E128*'Expenses Summary'!$D83))</f>
        <v>0</v>
      </c>
      <c r="F128" s="64">
        <f>IF('Expenses Summary'!$D83="","",IF('Cash Flow %s Yr1'!F128="","",'Cash Flow %s Yr1'!F128*'Expenses Summary'!$D83))</f>
        <v>59.2</v>
      </c>
      <c r="G128" s="64">
        <f>IF('Expenses Summary'!$D83="","",IF('Cash Flow %s Yr1'!G128="","",'Cash Flow %s Yr1'!G128*'Expenses Summary'!$D83))</f>
        <v>59.2</v>
      </c>
      <c r="H128" s="64">
        <f>IF('Expenses Summary'!$D83="","",IF('Cash Flow %s Yr1'!H128="","",'Cash Flow %s Yr1'!H128*'Expenses Summary'!$D83))</f>
        <v>59.2</v>
      </c>
      <c r="I128" s="64">
        <f>IF('Expenses Summary'!$D83="","",IF('Cash Flow %s Yr1'!I128="","",'Cash Flow %s Yr1'!I128*'Expenses Summary'!$D83))</f>
        <v>59.2</v>
      </c>
      <c r="J128" s="64">
        <f>IF('Expenses Summary'!$D83="","",IF('Cash Flow %s Yr1'!J128="","",'Cash Flow %s Yr1'!J128*'Expenses Summary'!$D83))</f>
        <v>59.2</v>
      </c>
      <c r="K128" s="64">
        <f>IF('Expenses Summary'!$D83="","",IF('Cash Flow %s Yr1'!K128="","",'Cash Flow %s Yr1'!K128*'Expenses Summary'!$D83))</f>
        <v>59.2</v>
      </c>
      <c r="L128" s="64">
        <f>IF('Expenses Summary'!$D83="","",IF('Cash Flow %s Yr1'!L128="","",'Cash Flow %s Yr1'!L128*'Expenses Summary'!$D83))</f>
        <v>59.2</v>
      </c>
      <c r="M128" s="64">
        <f>IF('Expenses Summary'!$D83="","",IF('Cash Flow %s Yr1'!M128="","",'Cash Flow %s Yr1'!M128*'Expenses Summary'!$D83))</f>
        <v>59.2</v>
      </c>
      <c r="N128" s="64">
        <f>IF('Expenses Summary'!$D83="","",IF('Cash Flow %s Yr1'!N128="","",'Cash Flow %s Yr1'!N128*'Expenses Summary'!$D83))</f>
        <v>59.2</v>
      </c>
      <c r="O128" s="64">
        <f>IF('Expenses Summary'!$D83="","",IF('Cash Flow %s Yr1'!O128="","",'Cash Flow %s Yr1'!O128*'Expenses Summary'!$D83))</f>
        <v>59.2</v>
      </c>
      <c r="P128" s="129"/>
      <c r="Q128" s="129"/>
      <c r="R128" s="129"/>
      <c r="S128" s="111">
        <f>IF(SUM(D128:R128)&gt;0,SUM(D128:R128)/'Expenses Summary'!$D83,"")</f>
        <v>1</v>
      </c>
    </row>
    <row r="129" spans="1:19" s="31" customFormat="1" x14ac:dyDescent="0.2">
      <c r="A129" s="36"/>
      <c r="B129" s="139" t="str">
        <f>'Expenses Summary'!B84</f>
        <v>5820</v>
      </c>
      <c r="C129" s="139" t="str">
        <f>'Expenses Summary'!C84</f>
        <v>Fundraising Expense</v>
      </c>
      <c r="D129" s="64">
        <f>IF('Expenses Summary'!$D84="","",IF('Cash Flow %s Yr1'!D129="","",'Cash Flow %s Yr1'!D129*'Expenses Summary'!$D84))</f>
        <v>0</v>
      </c>
      <c r="E129" s="64">
        <f>IF('Expenses Summary'!$D84="","",IF('Cash Flow %s Yr1'!E129="","",'Cash Flow %s Yr1'!E129*'Expenses Summary'!$D84))</f>
        <v>0</v>
      </c>
      <c r="F129" s="64">
        <f>IF('Expenses Summary'!$D84="","",IF('Cash Flow %s Yr1'!F129="","",'Cash Flow %s Yr1'!F129*'Expenses Summary'!$D84))</f>
        <v>3950.8</v>
      </c>
      <c r="G129" s="64">
        <f>IF('Expenses Summary'!$D84="","",IF('Cash Flow %s Yr1'!G129="","",'Cash Flow %s Yr1'!G129*'Expenses Summary'!$D84))</f>
        <v>3950.8</v>
      </c>
      <c r="H129" s="64">
        <f>IF('Expenses Summary'!$D84="","",IF('Cash Flow %s Yr1'!H129="","",'Cash Flow %s Yr1'!H129*'Expenses Summary'!$D84))</f>
        <v>3950.8</v>
      </c>
      <c r="I129" s="64">
        <f>IF('Expenses Summary'!$D84="","",IF('Cash Flow %s Yr1'!I129="","",'Cash Flow %s Yr1'!I129*'Expenses Summary'!$D84))</f>
        <v>3950.8</v>
      </c>
      <c r="J129" s="64">
        <f>IF('Expenses Summary'!$D84="","",IF('Cash Flow %s Yr1'!J129="","",'Cash Flow %s Yr1'!J129*'Expenses Summary'!$D84))</f>
        <v>3950.8</v>
      </c>
      <c r="K129" s="64">
        <f>IF('Expenses Summary'!$D84="","",IF('Cash Flow %s Yr1'!K129="","",'Cash Flow %s Yr1'!K129*'Expenses Summary'!$D84))</f>
        <v>3950.8</v>
      </c>
      <c r="L129" s="64">
        <f>IF('Expenses Summary'!$D84="","",IF('Cash Flow %s Yr1'!L129="","",'Cash Flow %s Yr1'!L129*'Expenses Summary'!$D84))</f>
        <v>3950.8</v>
      </c>
      <c r="M129" s="64">
        <f>IF('Expenses Summary'!$D84="","",IF('Cash Flow %s Yr1'!M129="","",'Cash Flow %s Yr1'!M129*'Expenses Summary'!$D84))</f>
        <v>3950.8</v>
      </c>
      <c r="N129" s="64">
        <f>IF('Expenses Summary'!$D84="","",IF('Cash Flow %s Yr1'!N129="","",'Cash Flow %s Yr1'!N129*'Expenses Summary'!$D84))</f>
        <v>3950.8</v>
      </c>
      <c r="O129" s="64">
        <f>IF('Expenses Summary'!$D84="","",IF('Cash Flow %s Yr1'!O129="","",'Cash Flow %s Yr1'!O129*'Expenses Summary'!$D84))</f>
        <v>3950.8</v>
      </c>
      <c r="P129" s="129"/>
      <c r="Q129" s="129"/>
      <c r="R129" s="129"/>
      <c r="S129" s="111">
        <f>IF(SUM(D129:R129)&gt;0,SUM(D129:R129)/'Expenses Summary'!$D84,"")</f>
        <v>1</v>
      </c>
    </row>
    <row r="130" spans="1:19" s="31" customFormat="1" x14ac:dyDescent="0.2">
      <c r="A130" s="36"/>
      <c r="B130" s="139" t="str">
        <f>'Expenses Summary'!B85</f>
        <v>5875</v>
      </c>
      <c r="C130" s="139" t="str">
        <f>'Expenses Summary'!C85</f>
        <v>District Oversight Fee</v>
      </c>
      <c r="D130" s="64">
        <f>IF('Expenses Summary'!$D85="","",IF('Cash Flow %s Yr1'!D130="","",'Cash Flow %s Yr1'!D130*'Expenses Summary'!$D85))</f>
        <v>2059.1845812493029</v>
      </c>
      <c r="E130" s="64">
        <f>IF('Expenses Summary'!$D85="","",IF('Cash Flow %s Yr1'!E130="","",'Cash Flow %s Yr1'!E130*'Expenses Summary'!$D85))</f>
        <v>0</v>
      </c>
      <c r="F130" s="64">
        <f>IF('Expenses Summary'!$D85="","",IF('Cash Flow %s Yr1'!F130="","",'Cash Flow %s Yr1'!F130*'Expenses Summary'!$D85))</f>
        <v>0</v>
      </c>
      <c r="G130" s="64">
        <f>IF('Expenses Summary'!$D85="","",IF('Cash Flow %s Yr1'!G130="","",'Cash Flow %s Yr1'!G130*'Expenses Summary'!$D85))</f>
        <v>0</v>
      </c>
      <c r="H130" s="64">
        <f>IF('Expenses Summary'!$D85="","",IF('Cash Flow %s Yr1'!H130="","",'Cash Flow %s Yr1'!H130*'Expenses Summary'!$D85))</f>
        <v>1600.4429307719402</v>
      </c>
      <c r="I130" s="64">
        <f>IF('Expenses Summary'!$D85="","",IF('Cash Flow %s Yr1'!I130="","",'Cash Flow %s Yr1'!I130*'Expenses Summary'!$D85))</f>
        <v>0</v>
      </c>
      <c r="J130" s="64">
        <f>IF('Expenses Summary'!$D85="","",IF('Cash Flow %s Yr1'!J130="","",'Cash Flow %s Yr1'!J130*'Expenses Summary'!$D85))</f>
        <v>2513.6511657410711</v>
      </c>
      <c r="K130" s="64">
        <f>IF('Expenses Summary'!$D85="","",IF('Cash Flow %s Yr1'!K130="","",'Cash Flow %s Yr1'!K130*'Expenses Summary'!$D85))</f>
        <v>0</v>
      </c>
      <c r="L130" s="64">
        <f>IF('Expenses Summary'!$D85="","",IF('Cash Flow %s Yr1'!L130="","",'Cash Flow %s Yr1'!L130*'Expenses Summary'!$D85))</f>
        <v>0</v>
      </c>
      <c r="M130" s="64">
        <f>IF('Expenses Summary'!$D85="","",IF('Cash Flow %s Yr1'!M130="","",'Cash Flow %s Yr1'!M130*'Expenses Summary'!$D85))</f>
        <v>2513.6511657410711</v>
      </c>
      <c r="N130" s="64">
        <f>IF('Expenses Summary'!$D85="","",IF('Cash Flow %s Yr1'!N130="","",'Cash Flow %s Yr1'!N130*'Expenses Summary'!$D85))</f>
        <v>0</v>
      </c>
      <c r="O130" s="64">
        <f>IF('Expenses Summary'!$D85="","",IF('Cash Flow %s Yr1'!O130="","",'Cash Flow %s Yr1'!O130*'Expenses Summary'!$D85))</f>
        <v>0</v>
      </c>
      <c r="P130" s="129"/>
      <c r="Q130" s="129"/>
      <c r="R130" s="129"/>
      <c r="S130" s="111">
        <f>IF(SUM(D130:R130)&gt;0,SUM(D130:R130)/'Expenses Summary'!$D85,"")</f>
        <v>0.99999954400000002</v>
      </c>
    </row>
    <row r="131" spans="1:19" s="31" customFormat="1" x14ac:dyDescent="0.2">
      <c r="A131" s="36"/>
      <c r="B131" s="139" t="str">
        <f>'Expenses Summary'!B86</f>
        <v>5890</v>
      </c>
      <c r="C131" s="139" t="str">
        <f>'Expenses Summary'!C86</f>
        <v>Interest Expense / Misc. Fees</v>
      </c>
      <c r="D131" s="64">
        <f>IF('Expenses Summary'!$D86="","",IF('Cash Flow %s Yr1'!D131="","",'Cash Flow %s Yr1'!D131*'Expenses Summary'!$D86))</f>
        <v>22.998666</v>
      </c>
      <c r="E131" s="64">
        <f>IF('Expenses Summary'!$D86="","",IF('Cash Flow %s Yr1'!E131="","",'Cash Flow %s Yr1'!E131*'Expenses Summary'!$D86))</f>
        <v>22.998666</v>
      </c>
      <c r="F131" s="64">
        <f>IF('Expenses Summary'!$D86="","",IF('Cash Flow %s Yr1'!F131="","",'Cash Flow %s Yr1'!F131*'Expenses Summary'!$D86))</f>
        <v>22.998666</v>
      </c>
      <c r="G131" s="64">
        <f>IF('Expenses Summary'!$D86="","",IF('Cash Flow %s Yr1'!G131="","",'Cash Flow %s Yr1'!G131*'Expenses Summary'!$D86))</f>
        <v>22.998666</v>
      </c>
      <c r="H131" s="64">
        <f>IF('Expenses Summary'!$D86="","",IF('Cash Flow %s Yr1'!H131="","",'Cash Flow %s Yr1'!H131*'Expenses Summary'!$D86))</f>
        <v>22.998666</v>
      </c>
      <c r="I131" s="64">
        <f>IF('Expenses Summary'!$D86="","",IF('Cash Flow %s Yr1'!I131="","",'Cash Flow %s Yr1'!I131*'Expenses Summary'!$D86))</f>
        <v>22.998666</v>
      </c>
      <c r="J131" s="64">
        <f>IF('Expenses Summary'!$D86="","",IF('Cash Flow %s Yr1'!J131="","",'Cash Flow %s Yr1'!J131*'Expenses Summary'!$D86))</f>
        <v>22.998666</v>
      </c>
      <c r="K131" s="64">
        <f>IF('Expenses Summary'!$D86="","",IF('Cash Flow %s Yr1'!K131="","",'Cash Flow %s Yr1'!K131*'Expenses Summary'!$D86))</f>
        <v>22.998666</v>
      </c>
      <c r="L131" s="64">
        <f>IF('Expenses Summary'!$D86="","",IF('Cash Flow %s Yr1'!L131="","",'Cash Flow %s Yr1'!L131*'Expenses Summary'!$D86))</f>
        <v>22.998666</v>
      </c>
      <c r="M131" s="64">
        <f>IF('Expenses Summary'!$D86="","",IF('Cash Flow %s Yr1'!M131="","",'Cash Flow %s Yr1'!M131*'Expenses Summary'!$D86))</f>
        <v>22.998666</v>
      </c>
      <c r="N131" s="64">
        <f>IF('Expenses Summary'!$D86="","",IF('Cash Flow %s Yr1'!N131="","",'Cash Flow %s Yr1'!N131*'Expenses Summary'!$D86))</f>
        <v>22.998666</v>
      </c>
      <c r="O131" s="64">
        <f>IF('Expenses Summary'!$D86="","",IF('Cash Flow %s Yr1'!O131="","",'Cash Flow %s Yr1'!O131*'Expenses Summary'!$D86))</f>
        <v>23.014536</v>
      </c>
      <c r="P131" s="129"/>
      <c r="Q131" s="129"/>
      <c r="R131" s="129"/>
      <c r="S131" s="111">
        <f>IF(SUM(D131:R131)&gt;0,SUM(D131:R131)/'Expenses Summary'!$D86,"")</f>
        <v>0.99999950000000026</v>
      </c>
    </row>
    <row r="132" spans="1:19" s="31" customFormat="1" x14ac:dyDescent="0.2">
      <c r="A132" s="36"/>
      <c r="B132" s="139" t="str">
        <f>'Expenses Summary'!B87</f>
        <v>5891</v>
      </c>
      <c r="C132" s="139" t="str">
        <f>'Expenses Summary'!C87</f>
        <v>Charter School Capital Fees</v>
      </c>
      <c r="D132" s="64">
        <f>IF('Expenses Summary'!$D87="","",IF('Cash Flow %s Yr1'!D132="","",'Cash Flow %s Yr1'!D132*'Expenses Summary'!$D87))</f>
        <v>0</v>
      </c>
      <c r="E132" s="64">
        <f>IF('Expenses Summary'!$D87="","",IF('Cash Flow %s Yr1'!E132="","",'Cash Flow %s Yr1'!E132*'Expenses Summary'!$D87))</f>
        <v>0</v>
      </c>
      <c r="F132" s="64">
        <f>IF('Expenses Summary'!$D87="","",IF('Cash Flow %s Yr1'!F132="","",'Cash Flow %s Yr1'!F132*'Expenses Summary'!$D87))</f>
        <v>0</v>
      </c>
      <c r="G132" s="64">
        <f>IF('Expenses Summary'!$D87="","",IF('Cash Flow %s Yr1'!G132="","",'Cash Flow %s Yr1'!G132*'Expenses Summary'!$D87))</f>
        <v>0</v>
      </c>
      <c r="H132" s="64">
        <f>IF('Expenses Summary'!$D87="","",IF('Cash Flow %s Yr1'!H132="","",'Cash Flow %s Yr1'!H132*'Expenses Summary'!$D87))</f>
        <v>0</v>
      </c>
      <c r="I132" s="64">
        <f>IF('Expenses Summary'!$D87="","",IF('Cash Flow %s Yr1'!I132="","",'Cash Flow %s Yr1'!I132*'Expenses Summary'!$D87))</f>
        <v>0</v>
      </c>
      <c r="J132" s="64">
        <f>IF('Expenses Summary'!$D87="","",IF('Cash Flow %s Yr1'!J132="","",'Cash Flow %s Yr1'!J132*'Expenses Summary'!$D87))</f>
        <v>0</v>
      </c>
      <c r="K132" s="64">
        <f>IF('Expenses Summary'!$D87="","",IF('Cash Flow %s Yr1'!K132="","",'Cash Flow %s Yr1'!K132*'Expenses Summary'!$D87))</f>
        <v>0</v>
      </c>
      <c r="L132" s="64">
        <f>IF('Expenses Summary'!$D87="","",IF('Cash Flow %s Yr1'!L132="","",'Cash Flow %s Yr1'!L132*'Expenses Summary'!$D87))</f>
        <v>0</v>
      </c>
      <c r="M132" s="64">
        <f>IF('Expenses Summary'!$D87="","",IF('Cash Flow %s Yr1'!M132="","",'Cash Flow %s Yr1'!M132*'Expenses Summary'!$D87))</f>
        <v>0</v>
      </c>
      <c r="N132" s="64">
        <f>IF('Expenses Summary'!$D87="","",IF('Cash Flow %s Yr1'!N132="","",'Cash Flow %s Yr1'!N132*'Expenses Summary'!$D87))</f>
        <v>0</v>
      </c>
      <c r="O132" s="64">
        <f>IF('Expenses Summary'!$D87="","",IF('Cash Flow %s Yr1'!O132="","",'Cash Flow %s Yr1'!O132*'Expenses Summary'!$D87))</f>
        <v>0</v>
      </c>
      <c r="P132" s="129"/>
      <c r="Q132" s="129"/>
      <c r="R132" s="129"/>
      <c r="S132" s="111" t="str">
        <f>IF(SUM(D132:R132)&gt;0,SUM(D132:R132)/'Expenses Summary'!$D87,"")</f>
        <v/>
      </c>
    </row>
    <row r="133" spans="1:19" s="31" customFormat="1" hidden="1" outlineLevel="1" x14ac:dyDescent="0.2">
      <c r="A133" s="36"/>
      <c r="B133" s="139" t="str">
        <f>'Expenses Summary'!B88</f>
        <v>5899</v>
      </c>
      <c r="C133" s="139" t="str">
        <f>'Expenses Summary'!C88</f>
        <v>CMO Management Fee</v>
      </c>
      <c r="D133" s="64" t="str">
        <f>IF('Expenses Summary'!$D88="","",IF('Cash Flow %s Yr1'!D133="","",'Cash Flow %s Yr1'!D133*'Expenses Summary'!$D88))</f>
        <v/>
      </c>
      <c r="E133" s="64" t="str">
        <f>IF('Expenses Summary'!$D88="","",IF('Cash Flow %s Yr1'!E133="","",'Cash Flow %s Yr1'!E133*'Expenses Summary'!$D88))</f>
        <v/>
      </c>
      <c r="F133" s="64">
        <f>IF('Expenses Summary'!$D88="","",IF('Cash Flow %s Yr1'!F133="","",'Cash Flow %s Yr1'!F133*'Expenses Summary'!$D88))</f>
        <v>0</v>
      </c>
      <c r="G133" s="64">
        <f>IF('Expenses Summary'!$D88="","",IF('Cash Flow %s Yr1'!G133="","",'Cash Flow %s Yr1'!G133*'Expenses Summary'!$D88))</f>
        <v>0</v>
      </c>
      <c r="H133" s="64">
        <f>IF('Expenses Summary'!$D88="","",IF('Cash Flow %s Yr1'!H133="","",'Cash Flow %s Yr1'!H133*'Expenses Summary'!$D88))</f>
        <v>0</v>
      </c>
      <c r="I133" s="64">
        <f>IF('Expenses Summary'!$D88="","",IF('Cash Flow %s Yr1'!I133="","",'Cash Flow %s Yr1'!I133*'Expenses Summary'!$D88))</f>
        <v>0</v>
      </c>
      <c r="J133" s="64">
        <f>IF('Expenses Summary'!$D88="","",IF('Cash Flow %s Yr1'!J133="","",'Cash Flow %s Yr1'!J133*'Expenses Summary'!$D88))</f>
        <v>0</v>
      </c>
      <c r="K133" s="64">
        <f>IF('Expenses Summary'!$D88="","",IF('Cash Flow %s Yr1'!K133="","",'Cash Flow %s Yr1'!K133*'Expenses Summary'!$D88))</f>
        <v>0</v>
      </c>
      <c r="L133" s="64">
        <f>IF('Expenses Summary'!$D88="","",IF('Cash Flow %s Yr1'!L133="","",'Cash Flow %s Yr1'!L133*'Expenses Summary'!$D88))</f>
        <v>0</v>
      </c>
      <c r="M133" s="64">
        <f>IF('Expenses Summary'!$D88="","",IF('Cash Flow %s Yr1'!M133="","",'Cash Flow %s Yr1'!M133*'Expenses Summary'!$D88))</f>
        <v>0</v>
      </c>
      <c r="N133" s="64">
        <f>IF('Expenses Summary'!$D88="","",IF('Cash Flow %s Yr1'!N133="","",'Cash Flow %s Yr1'!N133*'Expenses Summary'!$D88))</f>
        <v>0</v>
      </c>
      <c r="O133" s="64">
        <f>IF('Expenses Summary'!$D88="","",IF('Cash Flow %s Yr1'!O133="","",'Cash Flow %s Yr1'!O133*'Expenses Summary'!$D88))</f>
        <v>0</v>
      </c>
      <c r="P133" s="129"/>
      <c r="Q133" s="129"/>
      <c r="R133" s="129"/>
      <c r="S133" s="111" t="str">
        <f>IF(SUM(D133:R133)&gt;0,SUM(D133:R133)/'Expenses Summary'!$D88,"")</f>
        <v/>
      </c>
    </row>
    <row r="134" spans="1:19" s="31" customFormat="1" hidden="1" outlineLevel="1" x14ac:dyDescent="0.2">
      <c r="A134" s="36"/>
      <c r="B134" s="139" t="str">
        <f>'Expenses Summary'!B89</f>
        <v>5900</v>
      </c>
      <c r="C134" s="139" t="str">
        <f>'Expenses Summary'!C89</f>
        <v>Communications</v>
      </c>
      <c r="D134" s="64" t="str">
        <f>IF('Expenses Summary'!$D89="","",IF('Cash Flow %s Yr1'!D134="","",'Cash Flow %s Yr1'!D134*'Expenses Summary'!$D89))</f>
        <v/>
      </c>
      <c r="E134" s="64" t="str">
        <f>IF('Expenses Summary'!$D89="","",IF('Cash Flow %s Yr1'!E134="","",'Cash Flow %s Yr1'!E134*'Expenses Summary'!$D89))</f>
        <v/>
      </c>
      <c r="F134" s="64">
        <f>IF('Expenses Summary'!$D89="","",IF('Cash Flow %s Yr1'!F134="","",'Cash Flow %s Yr1'!F134*'Expenses Summary'!$D89))</f>
        <v>380.8</v>
      </c>
      <c r="G134" s="64">
        <f>IF('Expenses Summary'!$D89="","",IF('Cash Flow %s Yr1'!G134="","",'Cash Flow %s Yr1'!G134*'Expenses Summary'!$D89))</f>
        <v>380.8</v>
      </c>
      <c r="H134" s="64">
        <f>IF('Expenses Summary'!$D89="","",IF('Cash Flow %s Yr1'!H134="","",'Cash Flow %s Yr1'!H134*'Expenses Summary'!$D89))</f>
        <v>380.8</v>
      </c>
      <c r="I134" s="64">
        <f>IF('Expenses Summary'!$D89="","",IF('Cash Flow %s Yr1'!I134="","",'Cash Flow %s Yr1'!I134*'Expenses Summary'!$D89))</f>
        <v>380.8</v>
      </c>
      <c r="J134" s="64">
        <f>IF('Expenses Summary'!$D89="","",IF('Cash Flow %s Yr1'!J134="","",'Cash Flow %s Yr1'!J134*'Expenses Summary'!$D89))</f>
        <v>380.8</v>
      </c>
      <c r="K134" s="64">
        <f>IF('Expenses Summary'!$D89="","",IF('Cash Flow %s Yr1'!K134="","",'Cash Flow %s Yr1'!K134*'Expenses Summary'!$D89))</f>
        <v>380.8</v>
      </c>
      <c r="L134" s="64">
        <f>IF('Expenses Summary'!$D89="","",IF('Cash Flow %s Yr1'!L134="","",'Cash Flow %s Yr1'!L134*'Expenses Summary'!$D89))</f>
        <v>380.8</v>
      </c>
      <c r="M134" s="64">
        <f>IF('Expenses Summary'!$D89="","",IF('Cash Flow %s Yr1'!M134="","",'Cash Flow %s Yr1'!M134*'Expenses Summary'!$D89))</f>
        <v>380.8</v>
      </c>
      <c r="N134" s="64">
        <f>IF('Expenses Summary'!$D89="","",IF('Cash Flow %s Yr1'!N134="","",'Cash Flow %s Yr1'!N134*'Expenses Summary'!$D89))</f>
        <v>380.8</v>
      </c>
      <c r="O134" s="64">
        <f>IF('Expenses Summary'!$D89="","",IF('Cash Flow %s Yr1'!O134="","",'Cash Flow %s Yr1'!O134*'Expenses Summary'!$D89))</f>
        <v>380.8</v>
      </c>
      <c r="P134" s="129"/>
      <c r="Q134" s="129"/>
      <c r="R134" s="129"/>
      <c r="S134" s="111">
        <f>IF(SUM(D134:R134)&gt;0,SUM(D134:R134)/'Expenses Summary'!$D89,"")</f>
        <v>1.0000000000000002</v>
      </c>
    </row>
    <row r="135" spans="1:19" s="31" customFormat="1" hidden="1" outlineLevel="1" x14ac:dyDescent="0.2">
      <c r="A135" s="36"/>
      <c r="B135" s="139">
        <f>'Expenses Summary'!B90</f>
        <v>0</v>
      </c>
      <c r="C135" s="139">
        <f>'Expenses Summary'!C90</f>
        <v>0</v>
      </c>
      <c r="D135" s="64" t="str">
        <f>IF('Expenses Summary'!$D90="","",IF('Cash Flow %s Yr1'!D135="","",'Cash Flow %s Yr1'!D135*'Expenses Summary'!$D90))</f>
        <v/>
      </c>
      <c r="E135" s="64" t="str">
        <f>IF('Expenses Summary'!$D90="","",IF('Cash Flow %s Yr1'!E135="","",'Cash Flow %s Yr1'!E135*'Expenses Summary'!$D90))</f>
        <v/>
      </c>
      <c r="F135" s="64" t="str">
        <f>IF('Expenses Summary'!$D90="","",IF('Cash Flow %s Yr1'!F135="","",'Cash Flow %s Yr1'!F135*'Expenses Summary'!$D90))</f>
        <v/>
      </c>
      <c r="G135" s="64" t="str">
        <f>IF('Expenses Summary'!$D90="","",IF('Cash Flow %s Yr1'!G135="","",'Cash Flow %s Yr1'!G135*'Expenses Summary'!$D90))</f>
        <v/>
      </c>
      <c r="H135" s="64" t="str">
        <f>IF('Expenses Summary'!$D90="","",IF('Cash Flow %s Yr1'!H135="","",'Cash Flow %s Yr1'!H135*'Expenses Summary'!$D90))</f>
        <v/>
      </c>
      <c r="I135" s="64" t="str">
        <f>IF('Expenses Summary'!$D90="","",IF('Cash Flow %s Yr1'!I135="","",'Cash Flow %s Yr1'!I135*'Expenses Summary'!$D90))</f>
        <v/>
      </c>
      <c r="J135" s="64" t="str">
        <f>IF('Expenses Summary'!$D90="","",IF('Cash Flow %s Yr1'!J135="","",'Cash Flow %s Yr1'!J135*'Expenses Summary'!$D90))</f>
        <v/>
      </c>
      <c r="K135" s="64" t="str">
        <f>IF('Expenses Summary'!$D90="","",IF('Cash Flow %s Yr1'!K135="","",'Cash Flow %s Yr1'!K135*'Expenses Summary'!$D90))</f>
        <v/>
      </c>
      <c r="L135" s="64" t="str">
        <f>IF('Expenses Summary'!$D90="","",IF('Cash Flow %s Yr1'!L135="","",'Cash Flow %s Yr1'!L135*'Expenses Summary'!$D90))</f>
        <v/>
      </c>
      <c r="M135" s="64" t="str">
        <f>IF('Expenses Summary'!$D90="","",IF('Cash Flow %s Yr1'!M135="","",'Cash Flow %s Yr1'!M135*'Expenses Summary'!$D90))</f>
        <v/>
      </c>
      <c r="N135" s="64" t="str">
        <f>IF('Expenses Summary'!$D90="","",IF('Cash Flow %s Yr1'!N135="","",'Cash Flow %s Yr1'!N135*'Expenses Summary'!$D90))</f>
        <v/>
      </c>
      <c r="O135" s="64" t="str">
        <f>IF('Expenses Summary'!$D90="","",IF('Cash Flow %s Yr1'!O135="","",'Cash Flow %s Yr1'!O135*'Expenses Summary'!$D90))</f>
        <v/>
      </c>
      <c r="P135" s="129"/>
      <c r="Q135" s="129"/>
      <c r="R135" s="129"/>
      <c r="S135" s="111" t="str">
        <f>IF(SUM(D135:R135)&gt;0,SUM(D135:R135)/'Expenses Summary'!$D90,"")</f>
        <v/>
      </c>
    </row>
    <row r="136" spans="1:19" s="31" customFormat="1" hidden="1" outlineLevel="1" x14ac:dyDescent="0.2">
      <c r="A136" s="36"/>
      <c r="B136" s="139">
        <f>'Expenses Summary'!B91</f>
        <v>0</v>
      </c>
      <c r="C136" s="139">
        <f>'Expenses Summary'!C91</f>
        <v>0</v>
      </c>
      <c r="D136" s="64" t="str">
        <f>IF('Expenses Summary'!$D91="","",IF('Cash Flow %s Yr1'!D136="","",'Cash Flow %s Yr1'!D136*'Expenses Summary'!$D91))</f>
        <v/>
      </c>
      <c r="E136" s="64" t="str">
        <f>IF('Expenses Summary'!$D91="","",IF('Cash Flow %s Yr1'!E136="","",'Cash Flow %s Yr1'!E136*'Expenses Summary'!$D91))</f>
        <v/>
      </c>
      <c r="F136" s="64" t="str">
        <f>IF('Expenses Summary'!$D91="","",IF('Cash Flow %s Yr1'!F136="","",'Cash Flow %s Yr1'!F136*'Expenses Summary'!$D91))</f>
        <v/>
      </c>
      <c r="G136" s="64" t="str">
        <f>IF('Expenses Summary'!$D91="","",IF('Cash Flow %s Yr1'!G136="","",'Cash Flow %s Yr1'!G136*'Expenses Summary'!$D91))</f>
        <v/>
      </c>
      <c r="H136" s="64" t="str">
        <f>IF('Expenses Summary'!$D91="","",IF('Cash Flow %s Yr1'!H136="","",'Cash Flow %s Yr1'!H136*'Expenses Summary'!$D91))</f>
        <v/>
      </c>
      <c r="I136" s="64" t="str">
        <f>IF('Expenses Summary'!$D91="","",IF('Cash Flow %s Yr1'!I136="","",'Cash Flow %s Yr1'!I136*'Expenses Summary'!$D91))</f>
        <v/>
      </c>
      <c r="J136" s="64" t="str">
        <f>IF('Expenses Summary'!$D91="","",IF('Cash Flow %s Yr1'!J136="","",'Cash Flow %s Yr1'!J136*'Expenses Summary'!$D91))</f>
        <v/>
      </c>
      <c r="K136" s="64" t="str">
        <f>IF('Expenses Summary'!$D91="","",IF('Cash Flow %s Yr1'!K136="","",'Cash Flow %s Yr1'!K136*'Expenses Summary'!$D91))</f>
        <v/>
      </c>
      <c r="L136" s="64" t="str">
        <f>IF('Expenses Summary'!$D91="","",IF('Cash Flow %s Yr1'!L136="","",'Cash Flow %s Yr1'!L136*'Expenses Summary'!$D91))</f>
        <v/>
      </c>
      <c r="M136" s="64" t="str">
        <f>IF('Expenses Summary'!$D91="","",IF('Cash Flow %s Yr1'!M136="","",'Cash Flow %s Yr1'!M136*'Expenses Summary'!$D91))</f>
        <v/>
      </c>
      <c r="N136" s="64" t="str">
        <f>IF('Expenses Summary'!$D91="","",IF('Cash Flow %s Yr1'!N136="","",'Cash Flow %s Yr1'!N136*'Expenses Summary'!$D91))</f>
        <v/>
      </c>
      <c r="O136" s="64" t="str">
        <f>IF('Expenses Summary'!$D91="","",IF('Cash Flow %s Yr1'!O136="","",'Cash Flow %s Yr1'!O136*'Expenses Summary'!$D91))</f>
        <v/>
      </c>
      <c r="P136" s="129"/>
      <c r="Q136" s="129"/>
      <c r="R136" s="129"/>
      <c r="S136" s="111" t="str">
        <f>IF(SUM(D136:R136)&gt;0,SUM(D136:R136)/'Expenses Summary'!$D91,"")</f>
        <v/>
      </c>
    </row>
    <row r="137" spans="1:19" s="31" customFormat="1" hidden="1" outlineLevel="1" x14ac:dyDescent="0.2">
      <c r="A137" s="36"/>
      <c r="B137" s="139">
        <f>'Expenses Summary'!B92</f>
        <v>0</v>
      </c>
      <c r="C137" s="139">
        <f>'Expenses Summary'!C92</f>
        <v>0</v>
      </c>
      <c r="D137" s="64" t="str">
        <f>IF('Expenses Summary'!$D92="","",IF('Cash Flow %s Yr1'!D137="","",'Cash Flow %s Yr1'!D137*'Expenses Summary'!$D92))</f>
        <v/>
      </c>
      <c r="E137" s="64" t="str">
        <f>IF('Expenses Summary'!$D92="","",IF('Cash Flow %s Yr1'!E137="","",'Cash Flow %s Yr1'!E137*'Expenses Summary'!$D92))</f>
        <v/>
      </c>
      <c r="F137" s="64" t="str">
        <f>IF('Expenses Summary'!$D92="","",IF('Cash Flow %s Yr1'!F137="","",'Cash Flow %s Yr1'!F137*'Expenses Summary'!$D92))</f>
        <v/>
      </c>
      <c r="G137" s="64" t="str">
        <f>IF('Expenses Summary'!$D92="","",IF('Cash Flow %s Yr1'!G137="","",'Cash Flow %s Yr1'!G137*'Expenses Summary'!$D92))</f>
        <v/>
      </c>
      <c r="H137" s="64" t="str">
        <f>IF('Expenses Summary'!$D92="","",IF('Cash Flow %s Yr1'!H137="","",'Cash Flow %s Yr1'!H137*'Expenses Summary'!$D92))</f>
        <v/>
      </c>
      <c r="I137" s="64" t="str">
        <f>IF('Expenses Summary'!$D92="","",IF('Cash Flow %s Yr1'!I137="","",'Cash Flow %s Yr1'!I137*'Expenses Summary'!$D92))</f>
        <v/>
      </c>
      <c r="J137" s="64" t="str">
        <f>IF('Expenses Summary'!$D92="","",IF('Cash Flow %s Yr1'!J137="","",'Cash Flow %s Yr1'!J137*'Expenses Summary'!$D92))</f>
        <v/>
      </c>
      <c r="K137" s="64" t="str">
        <f>IF('Expenses Summary'!$D92="","",IF('Cash Flow %s Yr1'!K137="","",'Cash Flow %s Yr1'!K137*'Expenses Summary'!$D92))</f>
        <v/>
      </c>
      <c r="L137" s="64" t="str">
        <f>IF('Expenses Summary'!$D92="","",IF('Cash Flow %s Yr1'!L137="","",'Cash Flow %s Yr1'!L137*'Expenses Summary'!$D92))</f>
        <v/>
      </c>
      <c r="M137" s="64" t="str">
        <f>IF('Expenses Summary'!$D92="","",IF('Cash Flow %s Yr1'!M137="","",'Cash Flow %s Yr1'!M137*'Expenses Summary'!$D92))</f>
        <v/>
      </c>
      <c r="N137" s="64" t="str">
        <f>IF('Expenses Summary'!$D92="","",IF('Cash Flow %s Yr1'!N137="","",'Cash Flow %s Yr1'!N137*'Expenses Summary'!$D92))</f>
        <v/>
      </c>
      <c r="O137" s="64" t="str">
        <f>IF('Expenses Summary'!$D92="","",IF('Cash Flow %s Yr1'!O137="","",'Cash Flow %s Yr1'!O137*'Expenses Summary'!$D92))</f>
        <v/>
      </c>
      <c r="P137" s="129"/>
      <c r="Q137" s="129"/>
      <c r="R137" s="129"/>
      <c r="S137" s="111" t="str">
        <f>IF(SUM(D137:R137)&gt;0,SUM(D137:R137)/'Expenses Summary'!$D92,"")</f>
        <v/>
      </c>
    </row>
    <row r="138" spans="1:19" s="31" customFormat="1" hidden="1" outlineLevel="1" x14ac:dyDescent="0.2">
      <c r="A138" s="36"/>
      <c r="B138" s="139">
        <f>'Expenses Summary'!B93</f>
        <v>0</v>
      </c>
      <c r="C138" s="139">
        <f>'Expenses Summary'!C93</f>
        <v>0</v>
      </c>
      <c r="D138" s="64" t="str">
        <f>IF('Expenses Summary'!$D93="","",IF('Cash Flow %s Yr1'!D138="","",'Cash Flow %s Yr1'!D138*'Expenses Summary'!$D93))</f>
        <v/>
      </c>
      <c r="E138" s="64" t="str">
        <f>IF('Expenses Summary'!$D93="","",IF('Cash Flow %s Yr1'!E138="","",'Cash Flow %s Yr1'!E138*'Expenses Summary'!$D93))</f>
        <v/>
      </c>
      <c r="F138" s="64" t="str">
        <f>IF('Expenses Summary'!$D93="","",IF('Cash Flow %s Yr1'!F138="","",'Cash Flow %s Yr1'!F138*'Expenses Summary'!$D93))</f>
        <v/>
      </c>
      <c r="G138" s="64" t="str">
        <f>IF('Expenses Summary'!$D93="","",IF('Cash Flow %s Yr1'!G138="","",'Cash Flow %s Yr1'!G138*'Expenses Summary'!$D93))</f>
        <v/>
      </c>
      <c r="H138" s="64" t="str">
        <f>IF('Expenses Summary'!$D93="","",IF('Cash Flow %s Yr1'!H138="","",'Cash Flow %s Yr1'!H138*'Expenses Summary'!$D93))</f>
        <v/>
      </c>
      <c r="I138" s="64" t="str">
        <f>IF('Expenses Summary'!$D93="","",IF('Cash Flow %s Yr1'!I138="","",'Cash Flow %s Yr1'!I138*'Expenses Summary'!$D93))</f>
        <v/>
      </c>
      <c r="J138" s="64" t="str">
        <f>IF('Expenses Summary'!$D93="","",IF('Cash Flow %s Yr1'!J138="","",'Cash Flow %s Yr1'!J138*'Expenses Summary'!$D93))</f>
        <v/>
      </c>
      <c r="K138" s="64" t="str">
        <f>IF('Expenses Summary'!$D93="","",IF('Cash Flow %s Yr1'!K138="","",'Cash Flow %s Yr1'!K138*'Expenses Summary'!$D93))</f>
        <v/>
      </c>
      <c r="L138" s="64" t="str">
        <f>IF('Expenses Summary'!$D93="","",IF('Cash Flow %s Yr1'!L138="","",'Cash Flow %s Yr1'!L138*'Expenses Summary'!$D93))</f>
        <v/>
      </c>
      <c r="M138" s="64" t="str">
        <f>IF('Expenses Summary'!$D93="","",IF('Cash Flow %s Yr1'!M138="","",'Cash Flow %s Yr1'!M138*'Expenses Summary'!$D93))</f>
        <v/>
      </c>
      <c r="N138" s="64" t="str">
        <f>IF('Expenses Summary'!$D93="","",IF('Cash Flow %s Yr1'!N138="","",'Cash Flow %s Yr1'!N138*'Expenses Summary'!$D93))</f>
        <v/>
      </c>
      <c r="O138" s="64" t="str">
        <f>IF('Expenses Summary'!$D93="","",IF('Cash Flow %s Yr1'!O138="","",'Cash Flow %s Yr1'!O138*'Expenses Summary'!$D93))</f>
        <v/>
      </c>
      <c r="P138" s="129"/>
      <c r="Q138" s="129"/>
      <c r="R138" s="129"/>
      <c r="S138" s="111" t="str">
        <f>IF(SUM(D138:R138)&gt;0,SUM(D138:R138)/'Expenses Summary'!$D93,"")</f>
        <v/>
      </c>
    </row>
    <row r="139" spans="1:19" s="31" customFormat="1" hidden="1" outlineLevel="1" x14ac:dyDescent="0.2">
      <c r="A139" s="36"/>
      <c r="B139" s="139">
        <f>'Expenses Summary'!B94</f>
        <v>0</v>
      </c>
      <c r="C139" s="139">
        <f>'Expenses Summary'!C94</f>
        <v>0</v>
      </c>
      <c r="D139" s="64" t="str">
        <f>IF('Expenses Summary'!$D94="","",IF('Cash Flow %s Yr1'!D139="","",'Cash Flow %s Yr1'!D139*'Expenses Summary'!$D94))</f>
        <v/>
      </c>
      <c r="E139" s="64" t="str">
        <f>IF('Expenses Summary'!$D94="","",IF('Cash Flow %s Yr1'!E139="","",'Cash Flow %s Yr1'!E139*'Expenses Summary'!$D94))</f>
        <v/>
      </c>
      <c r="F139" s="64" t="str">
        <f>IF('Expenses Summary'!$D94="","",IF('Cash Flow %s Yr1'!F139="","",'Cash Flow %s Yr1'!F139*'Expenses Summary'!$D94))</f>
        <v/>
      </c>
      <c r="G139" s="64" t="str">
        <f>IF('Expenses Summary'!$D94="","",IF('Cash Flow %s Yr1'!G139="","",'Cash Flow %s Yr1'!G139*'Expenses Summary'!$D94))</f>
        <v/>
      </c>
      <c r="H139" s="64" t="str">
        <f>IF('Expenses Summary'!$D94="","",IF('Cash Flow %s Yr1'!H139="","",'Cash Flow %s Yr1'!H139*'Expenses Summary'!$D94))</f>
        <v/>
      </c>
      <c r="I139" s="64" t="str">
        <f>IF('Expenses Summary'!$D94="","",IF('Cash Flow %s Yr1'!I139="","",'Cash Flow %s Yr1'!I139*'Expenses Summary'!$D94))</f>
        <v/>
      </c>
      <c r="J139" s="64" t="str">
        <f>IF('Expenses Summary'!$D94="","",IF('Cash Flow %s Yr1'!J139="","",'Cash Flow %s Yr1'!J139*'Expenses Summary'!$D94))</f>
        <v/>
      </c>
      <c r="K139" s="64" t="str">
        <f>IF('Expenses Summary'!$D94="","",IF('Cash Flow %s Yr1'!K139="","",'Cash Flow %s Yr1'!K139*'Expenses Summary'!$D94))</f>
        <v/>
      </c>
      <c r="L139" s="64" t="str">
        <f>IF('Expenses Summary'!$D94="","",IF('Cash Flow %s Yr1'!L139="","",'Cash Flow %s Yr1'!L139*'Expenses Summary'!$D94))</f>
        <v/>
      </c>
      <c r="M139" s="64" t="str">
        <f>IF('Expenses Summary'!$D94="","",IF('Cash Flow %s Yr1'!M139="","",'Cash Flow %s Yr1'!M139*'Expenses Summary'!$D94))</f>
        <v/>
      </c>
      <c r="N139" s="64" t="str">
        <f>IF('Expenses Summary'!$D94="","",IF('Cash Flow %s Yr1'!N139="","",'Cash Flow %s Yr1'!N139*'Expenses Summary'!$D94))</f>
        <v/>
      </c>
      <c r="O139" s="64" t="str">
        <f>IF('Expenses Summary'!$D94="","",IF('Cash Flow %s Yr1'!O139="","",'Cash Flow %s Yr1'!O139*'Expenses Summary'!$D94))</f>
        <v/>
      </c>
      <c r="P139" s="129"/>
      <c r="Q139" s="129"/>
      <c r="R139" s="129"/>
      <c r="S139" s="111" t="str">
        <f>IF(SUM(D139:R139)&gt;0,SUM(D139:R139)/'Expenses Summary'!$D94,"")</f>
        <v/>
      </c>
    </row>
    <row r="140" spans="1:19" s="31" customFormat="1" hidden="1" outlineLevel="1" x14ac:dyDescent="0.2">
      <c r="A140" s="36"/>
      <c r="B140" s="139">
        <f>'Expenses Summary'!B95</f>
        <v>0</v>
      </c>
      <c r="C140" s="139">
        <f>'Expenses Summary'!C95</f>
        <v>0</v>
      </c>
      <c r="D140" s="64" t="str">
        <f>IF('Expenses Summary'!$D95="","",IF('Cash Flow %s Yr1'!D140="","",'Cash Flow %s Yr1'!D140*'Expenses Summary'!$D95))</f>
        <v/>
      </c>
      <c r="E140" s="64" t="str">
        <f>IF('Expenses Summary'!$D95="","",IF('Cash Flow %s Yr1'!E140="","",'Cash Flow %s Yr1'!E140*'Expenses Summary'!$D95))</f>
        <v/>
      </c>
      <c r="F140" s="64" t="str">
        <f>IF('Expenses Summary'!$D95="","",IF('Cash Flow %s Yr1'!F140="","",'Cash Flow %s Yr1'!F140*'Expenses Summary'!$D95))</f>
        <v/>
      </c>
      <c r="G140" s="64" t="str">
        <f>IF('Expenses Summary'!$D95="","",IF('Cash Flow %s Yr1'!G140="","",'Cash Flow %s Yr1'!G140*'Expenses Summary'!$D95))</f>
        <v/>
      </c>
      <c r="H140" s="64" t="str">
        <f>IF('Expenses Summary'!$D95="","",IF('Cash Flow %s Yr1'!H140="","",'Cash Flow %s Yr1'!H140*'Expenses Summary'!$D95))</f>
        <v/>
      </c>
      <c r="I140" s="64" t="str">
        <f>IF('Expenses Summary'!$D95="","",IF('Cash Flow %s Yr1'!I140="","",'Cash Flow %s Yr1'!I140*'Expenses Summary'!$D95))</f>
        <v/>
      </c>
      <c r="J140" s="64" t="str">
        <f>IF('Expenses Summary'!$D95="","",IF('Cash Flow %s Yr1'!J140="","",'Cash Flow %s Yr1'!J140*'Expenses Summary'!$D95))</f>
        <v/>
      </c>
      <c r="K140" s="64" t="str">
        <f>IF('Expenses Summary'!$D95="","",IF('Cash Flow %s Yr1'!K140="","",'Cash Flow %s Yr1'!K140*'Expenses Summary'!$D95))</f>
        <v/>
      </c>
      <c r="L140" s="64" t="str">
        <f>IF('Expenses Summary'!$D95="","",IF('Cash Flow %s Yr1'!L140="","",'Cash Flow %s Yr1'!L140*'Expenses Summary'!$D95))</f>
        <v/>
      </c>
      <c r="M140" s="64" t="str">
        <f>IF('Expenses Summary'!$D95="","",IF('Cash Flow %s Yr1'!M140="","",'Cash Flow %s Yr1'!M140*'Expenses Summary'!$D95))</f>
        <v/>
      </c>
      <c r="N140" s="64" t="str">
        <f>IF('Expenses Summary'!$D95="","",IF('Cash Flow %s Yr1'!N140="","",'Cash Flow %s Yr1'!N140*'Expenses Summary'!$D95))</f>
        <v/>
      </c>
      <c r="O140" s="64" t="str">
        <f>IF('Expenses Summary'!$D95="","",IF('Cash Flow %s Yr1'!O140="","",'Cash Flow %s Yr1'!O140*'Expenses Summary'!$D95))</f>
        <v/>
      </c>
      <c r="P140" s="129"/>
      <c r="Q140" s="129"/>
      <c r="R140" s="129"/>
      <c r="S140" s="111" t="str">
        <f>IF(SUM(D140:R140)&gt;0,SUM(D140:R140)/'Expenses Summary'!$D95,"")</f>
        <v/>
      </c>
    </row>
    <row r="141" spans="1:19" s="31" customFormat="1" hidden="1" outlineLevel="1" x14ac:dyDescent="0.2">
      <c r="A141" s="36"/>
      <c r="B141" s="139">
        <f>'Expenses Summary'!B96</f>
        <v>0</v>
      </c>
      <c r="C141" s="139">
        <f>'Expenses Summary'!C96</f>
        <v>0</v>
      </c>
      <c r="D141" s="64" t="str">
        <f>IF('Expenses Summary'!$D96="","",IF('Cash Flow %s Yr1'!D141="","",'Cash Flow %s Yr1'!D141*'Expenses Summary'!$D96))</f>
        <v/>
      </c>
      <c r="E141" s="64" t="str">
        <f>IF('Expenses Summary'!$D96="","",IF('Cash Flow %s Yr1'!E141="","",'Cash Flow %s Yr1'!E141*'Expenses Summary'!$D96))</f>
        <v/>
      </c>
      <c r="F141" s="64" t="str">
        <f>IF('Expenses Summary'!$D96="","",IF('Cash Flow %s Yr1'!F141="","",'Cash Flow %s Yr1'!F141*'Expenses Summary'!$D96))</f>
        <v/>
      </c>
      <c r="G141" s="64" t="str">
        <f>IF('Expenses Summary'!$D96="","",IF('Cash Flow %s Yr1'!G141="","",'Cash Flow %s Yr1'!G141*'Expenses Summary'!$D96))</f>
        <v/>
      </c>
      <c r="H141" s="64" t="str">
        <f>IF('Expenses Summary'!$D96="","",IF('Cash Flow %s Yr1'!H141="","",'Cash Flow %s Yr1'!H141*'Expenses Summary'!$D96))</f>
        <v/>
      </c>
      <c r="I141" s="64" t="str">
        <f>IF('Expenses Summary'!$D96="","",IF('Cash Flow %s Yr1'!I141="","",'Cash Flow %s Yr1'!I141*'Expenses Summary'!$D96))</f>
        <v/>
      </c>
      <c r="J141" s="64" t="str">
        <f>IF('Expenses Summary'!$D96="","",IF('Cash Flow %s Yr1'!J141="","",'Cash Flow %s Yr1'!J141*'Expenses Summary'!$D96))</f>
        <v/>
      </c>
      <c r="K141" s="64" t="str">
        <f>IF('Expenses Summary'!$D96="","",IF('Cash Flow %s Yr1'!K141="","",'Cash Flow %s Yr1'!K141*'Expenses Summary'!$D96))</f>
        <v/>
      </c>
      <c r="L141" s="64" t="str">
        <f>IF('Expenses Summary'!$D96="","",IF('Cash Flow %s Yr1'!L141="","",'Cash Flow %s Yr1'!L141*'Expenses Summary'!$D96))</f>
        <v/>
      </c>
      <c r="M141" s="64" t="str">
        <f>IF('Expenses Summary'!$D96="","",IF('Cash Flow %s Yr1'!M141="","",'Cash Flow %s Yr1'!M141*'Expenses Summary'!$D96))</f>
        <v/>
      </c>
      <c r="N141" s="64" t="str">
        <f>IF('Expenses Summary'!$D96="","",IF('Cash Flow %s Yr1'!N141="","",'Cash Flow %s Yr1'!N141*'Expenses Summary'!$D96))</f>
        <v/>
      </c>
      <c r="O141" s="64" t="str">
        <f>IF('Expenses Summary'!$D96="","",IF('Cash Flow %s Yr1'!O141="","",'Cash Flow %s Yr1'!O141*'Expenses Summary'!$D96))</f>
        <v/>
      </c>
      <c r="P141" s="129"/>
      <c r="Q141" s="129"/>
      <c r="R141" s="129"/>
      <c r="S141" s="111" t="str">
        <f>IF(SUM(D141:R141)&gt;0,SUM(D141:R141)/'Expenses Summary'!$D96,"")</f>
        <v/>
      </c>
    </row>
    <row r="142" spans="1:19" s="31" customFormat="1" hidden="1" outlineLevel="1" x14ac:dyDescent="0.2">
      <c r="A142" s="36"/>
      <c r="B142" s="139">
        <f>'Expenses Summary'!B97</f>
        <v>0</v>
      </c>
      <c r="C142" s="139">
        <f>'Expenses Summary'!C97</f>
        <v>0</v>
      </c>
      <c r="D142" s="64" t="str">
        <f>IF('Expenses Summary'!$D97="","",IF('Cash Flow %s Yr1'!D142="","",'Cash Flow %s Yr1'!D142*'Expenses Summary'!$D97))</f>
        <v/>
      </c>
      <c r="E142" s="64" t="str">
        <f>IF('Expenses Summary'!$D97="","",IF('Cash Flow %s Yr1'!E142="","",'Cash Flow %s Yr1'!E142*'Expenses Summary'!$D97))</f>
        <v/>
      </c>
      <c r="F142" s="64" t="str">
        <f>IF('Expenses Summary'!$D97="","",IF('Cash Flow %s Yr1'!F142="","",'Cash Flow %s Yr1'!F142*'Expenses Summary'!$D97))</f>
        <v/>
      </c>
      <c r="G142" s="64" t="str">
        <f>IF('Expenses Summary'!$D97="","",IF('Cash Flow %s Yr1'!G142="","",'Cash Flow %s Yr1'!G142*'Expenses Summary'!$D97))</f>
        <v/>
      </c>
      <c r="H142" s="64" t="str">
        <f>IF('Expenses Summary'!$D97="","",IF('Cash Flow %s Yr1'!H142="","",'Cash Flow %s Yr1'!H142*'Expenses Summary'!$D97))</f>
        <v/>
      </c>
      <c r="I142" s="64" t="str">
        <f>IF('Expenses Summary'!$D97="","",IF('Cash Flow %s Yr1'!I142="","",'Cash Flow %s Yr1'!I142*'Expenses Summary'!$D97))</f>
        <v/>
      </c>
      <c r="J142" s="64" t="str">
        <f>IF('Expenses Summary'!$D97="","",IF('Cash Flow %s Yr1'!J142="","",'Cash Flow %s Yr1'!J142*'Expenses Summary'!$D97))</f>
        <v/>
      </c>
      <c r="K142" s="64" t="str">
        <f>IF('Expenses Summary'!$D97="","",IF('Cash Flow %s Yr1'!K142="","",'Cash Flow %s Yr1'!K142*'Expenses Summary'!$D97))</f>
        <v/>
      </c>
      <c r="L142" s="64" t="str">
        <f>IF('Expenses Summary'!$D97="","",IF('Cash Flow %s Yr1'!L142="","",'Cash Flow %s Yr1'!L142*'Expenses Summary'!$D97))</f>
        <v/>
      </c>
      <c r="M142" s="64" t="str">
        <f>IF('Expenses Summary'!$D97="","",IF('Cash Flow %s Yr1'!M142="","",'Cash Flow %s Yr1'!M142*'Expenses Summary'!$D97))</f>
        <v/>
      </c>
      <c r="N142" s="64" t="str">
        <f>IF('Expenses Summary'!$D97="","",IF('Cash Flow %s Yr1'!N142="","",'Cash Flow %s Yr1'!N142*'Expenses Summary'!$D97))</f>
        <v/>
      </c>
      <c r="O142" s="64" t="str">
        <f>IF('Expenses Summary'!$D97="","",IF('Cash Flow %s Yr1'!O142="","",'Cash Flow %s Yr1'!O142*'Expenses Summary'!$D97))</f>
        <v/>
      </c>
      <c r="P142" s="129"/>
      <c r="Q142" s="129"/>
      <c r="R142" s="129"/>
      <c r="S142" s="111" t="str">
        <f>IF(SUM(D142:R142)&gt;0,SUM(D142:R142)/'Expenses Summary'!$D97,"")</f>
        <v/>
      </c>
    </row>
    <row r="143" spans="1:19" s="31" customFormat="1" collapsed="1" x14ac:dyDescent="0.2">
      <c r="A143" s="36"/>
      <c r="B143" s="139" t="str">
        <f>'Expenses Summary'!B98</f>
        <v>5999</v>
      </c>
      <c r="C143" s="139" t="str">
        <f>'Expenses Summary'!C98</f>
        <v>Expense Suspense</v>
      </c>
      <c r="D143" s="64">
        <f>IF('Expenses Summary'!$D98="","",IF('Cash Flow %s Yr1'!D143="","",'Cash Flow %s Yr1'!D143*'Expenses Summary'!$D98))</f>
        <v>0</v>
      </c>
      <c r="E143" s="64">
        <f>IF('Expenses Summary'!$D98="","",IF('Cash Flow %s Yr1'!E143="","",'Cash Flow %s Yr1'!E143*'Expenses Summary'!$D98))</f>
        <v>0</v>
      </c>
      <c r="F143" s="64">
        <f>IF('Expenses Summary'!$D98="","",IF('Cash Flow %s Yr1'!F143="","",'Cash Flow %s Yr1'!F143*'Expenses Summary'!$D98))</f>
        <v>0</v>
      </c>
      <c r="G143" s="64">
        <f>IF('Expenses Summary'!$D98="","",IF('Cash Flow %s Yr1'!G143="","",'Cash Flow %s Yr1'!G143*'Expenses Summary'!$D98))</f>
        <v>0</v>
      </c>
      <c r="H143" s="64">
        <f>IF('Expenses Summary'!$D98="","",IF('Cash Flow %s Yr1'!H143="","",'Cash Flow %s Yr1'!H143*'Expenses Summary'!$D98))</f>
        <v>0</v>
      </c>
      <c r="I143" s="64">
        <f>IF('Expenses Summary'!$D98="","",IF('Cash Flow %s Yr1'!I143="","",'Cash Flow %s Yr1'!I143*'Expenses Summary'!$D98))</f>
        <v>0</v>
      </c>
      <c r="J143" s="64">
        <f>IF('Expenses Summary'!$D98="","",IF('Cash Flow %s Yr1'!J143="","",'Cash Flow %s Yr1'!J143*'Expenses Summary'!$D98))</f>
        <v>0</v>
      </c>
      <c r="K143" s="64">
        <f>IF('Expenses Summary'!$D98="","",IF('Cash Flow %s Yr1'!K143="","",'Cash Flow %s Yr1'!K143*'Expenses Summary'!$D98))</f>
        <v>0</v>
      </c>
      <c r="L143" s="64">
        <f>IF('Expenses Summary'!$D98="","",IF('Cash Flow %s Yr1'!L143="","",'Cash Flow %s Yr1'!L143*'Expenses Summary'!$D98))</f>
        <v>0</v>
      </c>
      <c r="M143" s="64">
        <f>IF('Expenses Summary'!$D98="","",IF('Cash Flow %s Yr1'!M143="","",'Cash Flow %s Yr1'!M143*'Expenses Summary'!$D98))</f>
        <v>0</v>
      </c>
      <c r="N143" s="64">
        <f>IF('Expenses Summary'!$D98="","",IF('Cash Flow %s Yr1'!N143="","",'Cash Flow %s Yr1'!N143*'Expenses Summary'!$D98))</f>
        <v>0</v>
      </c>
      <c r="O143" s="64">
        <f>IF('Expenses Summary'!$D98="","",IF('Cash Flow %s Yr1'!O143="","",'Cash Flow %s Yr1'!O143*'Expenses Summary'!$D98))</f>
        <v>0</v>
      </c>
      <c r="P143" s="129"/>
      <c r="Q143" s="129"/>
      <c r="R143" s="129"/>
      <c r="S143" s="111" t="str">
        <f>IF(SUM(D143:R143)&gt;0,SUM(D143:R143)/'Expenses Summary'!$D98,"")</f>
        <v/>
      </c>
    </row>
    <row r="144" spans="1:19" s="31" customFormat="1" x14ac:dyDescent="0.2">
      <c r="A144" s="36"/>
      <c r="B144" s="33" t="s">
        <v>559</v>
      </c>
      <c r="C144" s="34" t="s">
        <v>721</v>
      </c>
      <c r="D144" s="172">
        <f>IF(SUM(D110:D143)&gt;0,SUM(D110:D143),"")</f>
        <v>10185.805247249304</v>
      </c>
      <c r="E144" s="172">
        <f t="shared" ref="E144:O144" si="11">IF(SUM(E110:E143)&gt;0,SUM(E110:E143),"")</f>
        <v>8126.6206660000007</v>
      </c>
      <c r="F144" s="172">
        <f t="shared" si="11"/>
        <v>27805.480665999996</v>
      </c>
      <c r="G144" s="172">
        <f t="shared" si="11"/>
        <v>21150.880665999997</v>
      </c>
      <c r="H144" s="172">
        <f t="shared" si="11"/>
        <v>23801.323596771937</v>
      </c>
      <c r="I144" s="172">
        <f t="shared" si="11"/>
        <v>22200.880665999997</v>
      </c>
      <c r="J144" s="172">
        <f t="shared" si="11"/>
        <v>24714.531831741067</v>
      </c>
      <c r="K144" s="172">
        <f t="shared" si="11"/>
        <v>22200.880665999997</v>
      </c>
      <c r="L144" s="172">
        <f t="shared" si="11"/>
        <v>22341.464666</v>
      </c>
      <c r="M144" s="172">
        <f t="shared" si="11"/>
        <v>24725.515831741068</v>
      </c>
      <c r="N144" s="172">
        <f t="shared" si="11"/>
        <v>19467.764665999999</v>
      </c>
      <c r="O144" s="172">
        <f t="shared" si="11"/>
        <v>19467.780535999998</v>
      </c>
      <c r="P144" s="108"/>
      <c r="Q144" s="108"/>
      <c r="R144" s="108"/>
      <c r="S144" s="107"/>
    </row>
    <row r="145" spans="1:19" s="31" customFormat="1" x14ac:dyDescent="0.2">
      <c r="A145" s="36"/>
      <c r="B145" s="4"/>
      <c r="C145" s="3"/>
      <c r="D145" s="95"/>
      <c r="E145" s="95"/>
      <c r="F145" s="95"/>
      <c r="G145" s="95"/>
      <c r="H145" s="95"/>
      <c r="I145" s="95"/>
      <c r="J145" s="95"/>
      <c r="K145" s="95"/>
      <c r="L145" s="95"/>
      <c r="M145" s="95"/>
      <c r="N145" s="95"/>
      <c r="O145" s="95"/>
      <c r="P145" s="95"/>
      <c r="Q145" s="95"/>
      <c r="R145" s="95"/>
    </row>
    <row r="146" spans="1:19" s="31" customFormat="1" x14ac:dyDescent="0.2">
      <c r="B146" s="34" t="s">
        <v>723</v>
      </c>
      <c r="C146" s="3"/>
      <c r="D146" s="95"/>
      <c r="E146" s="95"/>
      <c r="F146" s="95"/>
      <c r="G146" s="95"/>
      <c r="H146" s="95"/>
      <c r="I146" s="95"/>
      <c r="J146" s="95"/>
      <c r="K146" s="95"/>
      <c r="L146" s="95"/>
      <c r="M146" s="95"/>
      <c r="N146" s="95"/>
      <c r="O146" s="95"/>
      <c r="P146" s="95"/>
      <c r="Q146" s="95"/>
      <c r="R146" s="95"/>
    </row>
    <row r="147" spans="1:19" s="31" customFormat="1" x14ac:dyDescent="0.2">
      <c r="A147" s="36"/>
      <c r="B147" s="139" t="str">
        <f>'Expenses Summary'!B102</f>
        <v>6900</v>
      </c>
      <c r="C147" s="139" t="str">
        <f>'Expenses Summary'!C102</f>
        <v xml:space="preserve">Depreciation Expense                                                            </v>
      </c>
      <c r="D147" s="64">
        <f>IF('Expenses Summary'!$D102="","",IF('Cash Flow %s Yr1'!D147="","",'Cash Flow %s Yr1'!D147*'Expenses Summary'!$D102))</f>
        <v>0</v>
      </c>
      <c r="E147" s="64">
        <f>IF('Expenses Summary'!$D102="","",IF('Cash Flow %s Yr1'!E147="","",'Cash Flow %s Yr1'!E147*'Expenses Summary'!$D102))</f>
        <v>0</v>
      </c>
      <c r="F147" s="64">
        <f>IF('Expenses Summary'!$D102="","",IF('Cash Flow %s Yr1'!F147="","",'Cash Flow %s Yr1'!F147*'Expenses Summary'!$D102))</f>
        <v>0</v>
      </c>
      <c r="G147" s="64">
        <f>IF('Expenses Summary'!$D102="","",IF('Cash Flow %s Yr1'!G147="","",'Cash Flow %s Yr1'!G147*'Expenses Summary'!$D102))</f>
        <v>0</v>
      </c>
      <c r="H147" s="64">
        <f>IF('Expenses Summary'!$D102="","",IF('Cash Flow %s Yr1'!H147="","",'Cash Flow %s Yr1'!H147*'Expenses Summary'!$D102))</f>
        <v>0</v>
      </c>
      <c r="I147" s="64">
        <f>IF('Expenses Summary'!$D102="","",IF('Cash Flow %s Yr1'!I147="","",'Cash Flow %s Yr1'!I147*'Expenses Summary'!$D102))</f>
        <v>0</v>
      </c>
      <c r="J147" s="64">
        <f>IF('Expenses Summary'!$D102="","",IF('Cash Flow %s Yr1'!J147="","",'Cash Flow %s Yr1'!J147*'Expenses Summary'!$D102))</f>
        <v>0</v>
      </c>
      <c r="K147" s="64">
        <f>IF('Expenses Summary'!$D102="","",IF('Cash Flow %s Yr1'!K147="","",'Cash Flow %s Yr1'!K147*'Expenses Summary'!$D102))</f>
        <v>0</v>
      </c>
      <c r="L147" s="64">
        <f>IF('Expenses Summary'!$D102="","",IF('Cash Flow %s Yr1'!L147="","",'Cash Flow %s Yr1'!L147*'Expenses Summary'!$D102))</f>
        <v>0</v>
      </c>
      <c r="M147" s="64">
        <f>IF('Expenses Summary'!$D102="","",IF('Cash Flow %s Yr1'!M147="","",'Cash Flow %s Yr1'!M147*'Expenses Summary'!$D102))</f>
        <v>0</v>
      </c>
      <c r="N147" s="64">
        <f>IF('Expenses Summary'!$D102="","",IF('Cash Flow %s Yr1'!N147="","",'Cash Flow %s Yr1'!N147*'Expenses Summary'!$D102))</f>
        <v>0</v>
      </c>
      <c r="O147" s="64">
        <f>IF('Expenses Summary'!$D102="","",IF('Cash Flow %s Yr1'!O147="","",'Cash Flow %s Yr1'!O147*'Expenses Summary'!$D102))</f>
        <v>2824</v>
      </c>
      <c r="P147" s="129"/>
      <c r="Q147" s="129"/>
      <c r="R147" s="129"/>
      <c r="S147" s="111">
        <f>IF(SUM(D147:R147)&gt;0,SUM(D147:R147)/'Expenses Summary'!$D102,"")</f>
        <v>1</v>
      </c>
    </row>
    <row r="148" spans="1:19" s="31" customFormat="1" x14ac:dyDescent="0.2">
      <c r="A148" s="36"/>
      <c r="B148" s="33" t="s">
        <v>560</v>
      </c>
      <c r="C148" s="34" t="s">
        <v>721</v>
      </c>
      <c r="D148" s="172" t="str">
        <f t="shared" ref="D148:O148" si="12">IF(SUM(D146:D147)&gt;0,SUM(D146:D147),"")</f>
        <v/>
      </c>
      <c r="E148" s="172" t="str">
        <f t="shared" si="12"/>
        <v/>
      </c>
      <c r="F148" s="172" t="str">
        <f t="shared" si="12"/>
        <v/>
      </c>
      <c r="G148" s="172" t="str">
        <f t="shared" si="12"/>
        <v/>
      </c>
      <c r="H148" s="172" t="str">
        <f t="shared" si="12"/>
        <v/>
      </c>
      <c r="I148" s="172" t="str">
        <f t="shared" si="12"/>
        <v/>
      </c>
      <c r="J148" s="172" t="str">
        <f t="shared" si="12"/>
        <v/>
      </c>
      <c r="K148" s="172" t="str">
        <f t="shared" si="12"/>
        <v/>
      </c>
      <c r="L148" s="172" t="str">
        <f t="shared" si="12"/>
        <v/>
      </c>
      <c r="M148" s="172" t="str">
        <f t="shared" si="12"/>
        <v/>
      </c>
      <c r="N148" s="172" t="str">
        <f t="shared" si="12"/>
        <v/>
      </c>
      <c r="O148" s="172">
        <f t="shared" si="12"/>
        <v>2824</v>
      </c>
      <c r="P148" s="108"/>
      <c r="Q148" s="108"/>
      <c r="R148" s="108"/>
      <c r="S148" s="107"/>
    </row>
    <row r="149" spans="1:19" s="31" customFormat="1" x14ac:dyDescent="0.2">
      <c r="A149" s="36"/>
      <c r="B149" s="4"/>
      <c r="C149" s="3"/>
      <c r="D149" s="95"/>
      <c r="E149" s="104"/>
      <c r="F149" s="104"/>
      <c r="G149" s="95"/>
      <c r="H149" s="95"/>
      <c r="I149" s="95"/>
      <c r="J149" s="95"/>
      <c r="K149" s="95"/>
      <c r="L149" s="95"/>
      <c r="M149" s="95"/>
      <c r="N149" s="95"/>
      <c r="O149" s="95"/>
      <c r="P149" s="95"/>
      <c r="Q149" s="95"/>
      <c r="R149" s="95"/>
    </row>
    <row r="150" spans="1:19" s="31" customFormat="1" x14ac:dyDescent="0.2">
      <c r="B150" s="34" t="s">
        <v>724</v>
      </c>
      <c r="C150" s="3"/>
      <c r="D150" s="95"/>
      <c r="E150" s="104"/>
      <c r="F150" s="104"/>
      <c r="G150" s="95"/>
      <c r="H150" s="95"/>
      <c r="I150" s="95"/>
      <c r="J150" s="95"/>
      <c r="K150" s="95"/>
      <c r="L150" s="95"/>
      <c r="M150" s="95"/>
      <c r="N150" s="95"/>
      <c r="O150" s="95"/>
      <c r="P150" s="95"/>
      <c r="Q150" s="95"/>
      <c r="R150" s="95"/>
    </row>
    <row r="151" spans="1:19" s="31" customFormat="1" x14ac:dyDescent="0.2">
      <c r="A151" s="36"/>
      <c r="B151" s="139" t="str">
        <f>'Expenses Summary'!B106</f>
        <v>7000</v>
      </c>
      <c r="C151" s="139" t="str">
        <f>'Expenses Summary'!C106</f>
        <v>Miscellaneous Expense</v>
      </c>
      <c r="D151" s="64">
        <f>IF('Expenses Summary'!$D106="","",IF('Cash Flow %s Yr1'!D151="","",'Cash Flow %s Yr1'!D151*'Expenses Summary'!$D106))</f>
        <v>0</v>
      </c>
      <c r="E151" s="64">
        <f>IF('Expenses Summary'!$D106="","",IF('Cash Flow %s Yr1'!E151="","",'Cash Flow %s Yr1'!E151*'Expenses Summary'!$D106))</f>
        <v>0</v>
      </c>
      <c r="F151" s="64">
        <f>IF('Expenses Summary'!$D106="","",IF('Cash Flow %s Yr1'!F151="","",'Cash Flow %s Yr1'!F151*'Expenses Summary'!$D106))</f>
        <v>0</v>
      </c>
      <c r="G151" s="64">
        <f>IF('Expenses Summary'!$D106="","",IF('Cash Flow %s Yr1'!G151="","",'Cash Flow %s Yr1'!G151*'Expenses Summary'!$D106))</f>
        <v>0</v>
      </c>
      <c r="H151" s="64">
        <f>IF('Expenses Summary'!$D106="","",IF('Cash Flow %s Yr1'!H151="","",'Cash Flow %s Yr1'!H151*'Expenses Summary'!$D106))</f>
        <v>0</v>
      </c>
      <c r="I151" s="64">
        <f>IF('Expenses Summary'!$D106="","",IF('Cash Flow %s Yr1'!I151="","",'Cash Flow %s Yr1'!I151*'Expenses Summary'!$D106))</f>
        <v>0</v>
      </c>
      <c r="J151" s="64">
        <f>IF('Expenses Summary'!$D106="","",IF('Cash Flow %s Yr1'!J151="","",'Cash Flow %s Yr1'!J151*'Expenses Summary'!$D106))</f>
        <v>0</v>
      </c>
      <c r="K151" s="64">
        <f>IF('Expenses Summary'!$D106="","",IF('Cash Flow %s Yr1'!K151="","",'Cash Flow %s Yr1'!K151*'Expenses Summary'!$D106))</f>
        <v>0</v>
      </c>
      <c r="L151" s="64">
        <f>IF('Expenses Summary'!$D106="","",IF('Cash Flow %s Yr1'!L151="","",'Cash Flow %s Yr1'!L151*'Expenses Summary'!$D106))</f>
        <v>0</v>
      </c>
      <c r="M151" s="64">
        <f>IF('Expenses Summary'!$D106="","",IF('Cash Flow %s Yr1'!M151="","",'Cash Flow %s Yr1'!M151*'Expenses Summary'!$D106))</f>
        <v>0</v>
      </c>
      <c r="N151" s="64">
        <f>IF('Expenses Summary'!$D106="","",IF('Cash Flow %s Yr1'!N151="","",'Cash Flow %s Yr1'!N151*'Expenses Summary'!$D106))</f>
        <v>0</v>
      </c>
      <c r="O151" s="64">
        <f>IF('Expenses Summary'!$D106="","",IF('Cash Flow %s Yr1'!O151="","",'Cash Flow %s Yr1'!O151*'Expenses Summary'!$D106))</f>
        <v>0</v>
      </c>
      <c r="P151" s="129"/>
      <c r="Q151" s="129"/>
      <c r="R151" s="129"/>
      <c r="S151" s="111" t="str">
        <f>IF(SUM(D151:R151)&gt;0,SUM(D151:R151)/'Expenses Summary'!$D106,"")</f>
        <v/>
      </c>
    </row>
    <row r="152" spans="1:19" s="31" customFormat="1" x14ac:dyDescent="0.2">
      <c r="A152" s="36"/>
      <c r="B152" s="139" t="str">
        <f>'Expenses Summary'!B107</f>
        <v>7010</v>
      </c>
      <c r="C152" s="139" t="str">
        <f>'Expenses Summary'!C107</f>
        <v>Special Education Encroachment</v>
      </c>
      <c r="D152" s="64">
        <f>IF('Expenses Summary'!$D107="","",IF('Cash Flow %s Yr1'!D152="","",'Cash Flow %s Yr1'!D152*'Expenses Summary'!$D107))</f>
        <v>0</v>
      </c>
      <c r="E152" s="64">
        <f>IF('Expenses Summary'!$D107="","",IF('Cash Flow %s Yr1'!E152="","",'Cash Flow %s Yr1'!E152*'Expenses Summary'!$D107))</f>
        <v>0</v>
      </c>
      <c r="F152" s="64">
        <f>IF('Expenses Summary'!$D107="","",IF('Cash Flow %s Yr1'!F152="","",'Cash Flow %s Yr1'!F152*'Expenses Summary'!$D107))</f>
        <v>0</v>
      </c>
      <c r="G152" s="64">
        <f>IF('Expenses Summary'!$D107="","",IF('Cash Flow %s Yr1'!G152="","",'Cash Flow %s Yr1'!G152*'Expenses Summary'!$D107))</f>
        <v>0</v>
      </c>
      <c r="H152" s="64">
        <f>IF('Expenses Summary'!$D107="","",IF('Cash Flow %s Yr1'!H152="","",'Cash Flow %s Yr1'!H152*'Expenses Summary'!$D107))</f>
        <v>0</v>
      </c>
      <c r="I152" s="64">
        <f>IF('Expenses Summary'!$D107="","",IF('Cash Flow %s Yr1'!I152="","",'Cash Flow %s Yr1'!I152*'Expenses Summary'!$D107))</f>
        <v>0</v>
      </c>
      <c r="J152" s="64">
        <f>IF('Expenses Summary'!$D107="","",IF('Cash Flow %s Yr1'!J152="","",'Cash Flow %s Yr1'!J152*'Expenses Summary'!$D107))</f>
        <v>0</v>
      </c>
      <c r="K152" s="64">
        <f>IF('Expenses Summary'!$D107="","",IF('Cash Flow %s Yr1'!K152="","",'Cash Flow %s Yr1'!K152*'Expenses Summary'!$D107))</f>
        <v>0</v>
      </c>
      <c r="L152" s="64">
        <f>IF('Expenses Summary'!$D107="","",IF('Cash Flow %s Yr1'!L152="","",'Cash Flow %s Yr1'!L152*'Expenses Summary'!$D107))</f>
        <v>0</v>
      </c>
      <c r="M152" s="64">
        <f>IF('Expenses Summary'!$D107="","",IF('Cash Flow %s Yr1'!M152="","",'Cash Flow %s Yr1'!M152*'Expenses Summary'!$D107))</f>
        <v>0</v>
      </c>
      <c r="N152" s="64">
        <f>IF('Expenses Summary'!$D107="","",IF('Cash Flow %s Yr1'!N152="","",'Cash Flow %s Yr1'!N152*'Expenses Summary'!$D107))</f>
        <v>0</v>
      </c>
      <c r="O152" s="64">
        <f>IF('Expenses Summary'!$D107="","",IF('Cash Flow %s Yr1'!O152="","",'Cash Flow %s Yr1'!O152*'Expenses Summary'!$D107))</f>
        <v>73078.0098</v>
      </c>
      <c r="P152" s="129"/>
      <c r="Q152" s="129"/>
      <c r="R152" s="129"/>
      <c r="S152" s="111">
        <f>IF(SUM(D152:R152)&gt;0,SUM(D152:R152)/'Expenses Summary'!$D107,"")</f>
        <v>1</v>
      </c>
    </row>
    <row r="153" spans="1:19" s="31" customFormat="1" x14ac:dyDescent="0.2">
      <c r="A153" s="36"/>
      <c r="B153" s="139" t="str">
        <f>'Expenses Summary'!B108</f>
        <v>7438</v>
      </c>
      <c r="C153" s="139" t="str">
        <f>'Expenses Summary'!C108</f>
        <v xml:space="preserve">Debt </v>
      </c>
      <c r="D153" s="64">
        <f>IF('Expenses Summary'!$D108="","",IF('Cash Flow %s Yr1'!D153="","",'Cash Flow %s Yr1'!D153*'Expenses Summary'!$D108))</f>
        <v>0</v>
      </c>
      <c r="E153" s="64">
        <f>IF('Expenses Summary'!$D108="","",IF('Cash Flow %s Yr1'!E153="","",'Cash Flow %s Yr1'!E153*'Expenses Summary'!$D108))</f>
        <v>0</v>
      </c>
      <c r="F153" s="64">
        <f>IF('Expenses Summary'!$D108="","",IF('Cash Flow %s Yr1'!F153="","",'Cash Flow %s Yr1'!F153*'Expenses Summary'!$D108))</f>
        <v>0</v>
      </c>
      <c r="G153" s="64">
        <f>IF('Expenses Summary'!$D108="","",IF('Cash Flow %s Yr1'!G153="","",'Cash Flow %s Yr1'!G153*'Expenses Summary'!$D108))</f>
        <v>0</v>
      </c>
      <c r="H153" s="64">
        <f>IF('Expenses Summary'!$D108="","",IF('Cash Flow %s Yr1'!H153="","",'Cash Flow %s Yr1'!H153*'Expenses Summary'!$D108))</f>
        <v>0</v>
      </c>
      <c r="I153" s="64">
        <f>IF('Expenses Summary'!$D108="","",IF('Cash Flow %s Yr1'!I153="","",'Cash Flow %s Yr1'!I153*'Expenses Summary'!$D108))</f>
        <v>0</v>
      </c>
      <c r="J153" s="64">
        <f>IF('Expenses Summary'!$D108="","",IF('Cash Flow %s Yr1'!J153="","",'Cash Flow %s Yr1'!J153*'Expenses Summary'!$D108))</f>
        <v>0</v>
      </c>
      <c r="K153" s="64">
        <f>IF('Expenses Summary'!$D108="","",IF('Cash Flow %s Yr1'!K153="","",'Cash Flow %s Yr1'!K153*'Expenses Summary'!$D108))</f>
        <v>0</v>
      </c>
      <c r="L153" s="64">
        <f>IF('Expenses Summary'!$D108="","",IF('Cash Flow %s Yr1'!L153="","",'Cash Flow %s Yr1'!L153*'Expenses Summary'!$D108))</f>
        <v>0</v>
      </c>
      <c r="M153" s="64">
        <f>IF('Expenses Summary'!$D108="","",IF('Cash Flow %s Yr1'!M153="","",'Cash Flow %s Yr1'!M153*'Expenses Summary'!$D108))</f>
        <v>0</v>
      </c>
      <c r="N153" s="64">
        <f>IF('Expenses Summary'!$D108="","",IF('Cash Flow %s Yr1'!N153="","",'Cash Flow %s Yr1'!N153*'Expenses Summary'!$D108))</f>
        <v>0</v>
      </c>
      <c r="O153" s="64">
        <f>IF('Expenses Summary'!$D108="","",IF('Cash Flow %s Yr1'!O153="","",'Cash Flow %s Yr1'!O153*'Expenses Summary'!$D108))</f>
        <v>0</v>
      </c>
      <c r="P153" s="129"/>
      <c r="Q153" s="129"/>
      <c r="R153" s="129"/>
      <c r="S153" s="111" t="str">
        <f>IF(SUM(D153:R153)&gt;0,SUM(D153:R153)/'Expenses Summary'!$D108,"")</f>
        <v/>
      </c>
    </row>
    <row r="154" spans="1:19" s="31" customFormat="1" x14ac:dyDescent="0.2">
      <c r="A154" s="36"/>
      <c r="B154" s="139" t="str">
        <f>'Expenses Summary'!B109</f>
        <v>7500</v>
      </c>
      <c r="C154" s="139" t="str">
        <f>'Expenses Summary'!C109</f>
        <v>District Oversight Fee</v>
      </c>
      <c r="D154" s="64">
        <f>IF('Expenses Summary'!$D109="","",IF('Cash Flow %s Yr1'!D154="","",'Cash Flow %s Yr1'!D154*'Expenses Summary'!$D109))</f>
        <v>0</v>
      </c>
      <c r="E154" s="64">
        <f>IF('Expenses Summary'!$D109="","",IF('Cash Flow %s Yr1'!E154="","",'Cash Flow %s Yr1'!E154*'Expenses Summary'!$D109))</f>
        <v>0</v>
      </c>
      <c r="F154" s="64">
        <f>IF('Expenses Summary'!$D109="","",IF('Cash Flow %s Yr1'!F154="","",'Cash Flow %s Yr1'!F154*'Expenses Summary'!$D109))</f>
        <v>0</v>
      </c>
      <c r="G154" s="64">
        <f>IF('Expenses Summary'!$D109="","",IF('Cash Flow %s Yr1'!G154="","",'Cash Flow %s Yr1'!G154*'Expenses Summary'!$D109))</f>
        <v>0</v>
      </c>
      <c r="H154" s="64">
        <f>IF('Expenses Summary'!$D109="","",IF('Cash Flow %s Yr1'!H154="","",'Cash Flow %s Yr1'!H154*'Expenses Summary'!$D109))</f>
        <v>0</v>
      </c>
      <c r="I154" s="64">
        <f>IF('Expenses Summary'!$D109="","",IF('Cash Flow %s Yr1'!I154="","",'Cash Flow %s Yr1'!I154*'Expenses Summary'!$D109))</f>
        <v>0</v>
      </c>
      <c r="J154" s="64">
        <f>IF('Expenses Summary'!$D109="","",IF('Cash Flow %s Yr1'!J154="","",'Cash Flow %s Yr1'!J154*'Expenses Summary'!$D109))</f>
        <v>0</v>
      </c>
      <c r="K154" s="64">
        <f>IF('Expenses Summary'!$D109="","",IF('Cash Flow %s Yr1'!K154="","",'Cash Flow %s Yr1'!K154*'Expenses Summary'!$D109))</f>
        <v>0</v>
      </c>
      <c r="L154" s="64">
        <f>IF('Expenses Summary'!$D109="","",IF('Cash Flow %s Yr1'!L154="","",'Cash Flow %s Yr1'!L154*'Expenses Summary'!$D109))</f>
        <v>0</v>
      </c>
      <c r="M154" s="64">
        <f>IF('Expenses Summary'!$D109="","",IF('Cash Flow %s Yr1'!M154="","",'Cash Flow %s Yr1'!M154*'Expenses Summary'!$D109))</f>
        <v>0</v>
      </c>
      <c r="N154" s="64">
        <f>IF('Expenses Summary'!$D109="","",IF('Cash Flow %s Yr1'!N154="","",'Cash Flow %s Yr1'!N154*'Expenses Summary'!$D109))</f>
        <v>0</v>
      </c>
      <c r="O154" s="64">
        <f>IF('Expenses Summary'!$D109="","",IF('Cash Flow %s Yr1'!O154="","",'Cash Flow %s Yr1'!O154*'Expenses Summary'!$D109))</f>
        <v>0</v>
      </c>
      <c r="P154" s="129"/>
      <c r="Q154" s="129"/>
      <c r="R154" s="129"/>
      <c r="S154" s="111" t="str">
        <f>IF(SUM(D154:R154)&gt;0,SUM(D154:R154)/'Expenses Summary'!$D109,"")</f>
        <v/>
      </c>
    </row>
    <row r="155" spans="1:19" s="31" customFormat="1" x14ac:dyDescent="0.2">
      <c r="A155" s="36"/>
      <c r="B155" s="33" t="s">
        <v>685</v>
      </c>
      <c r="C155" s="34" t="s">
        <v>725</v>
      </c>
      <c r="D155" s="192" t="str">
        <f t="shared" ref="D155:O155" si="13">IF(SUM(D150:D154)&gt;0,SUM(D150:D154),"")</f>
        <v/>
      </c>
      <c r="E155" s="192" t="str">
        <f t="shared" si="13"/>
        <v/>
      </c>
      <c r="F155" s="192" t="str">
        <f t="shared" si="13"/>
        <v/>
      </c>
      <c r="G155" s="192" t="str">
        <f t="shared" si="13"/>
        <v/>
      </c>
      <c r="H155" s="192" t="str">
        <f t="shared" si="13"/>
        <v/>
      </c>
      <c r="I155" s="192" t="str">
        <f t="shared" si="13"/>
        <v/>
      </c>
      <c r="J155" s="192" t="str">
        <f t="shared" si="13"/>
        <v/>
      </c>
      <c r="K155" s="192" t="str">
        <f t="shared" si="13"/>
        <v/>
      </c>
      <c r="L155" s="192" t="str">
        <f t="shared" si="13"/>
        <v/>
      </c>
      <c r="M155" s="192" t="str">
        <f t="shared" si="13"/>
        <v/>
      </c>
      <c r="N155" s="192" t="str">
        <f t="shared" si="13"/>
        <v/>
      </c>
      <c r="O155" s="192">
        <f t="shared" si="13"/>
        <v>73078.0098</v>
      </c>
      <c r="P155" s="132"/>
      <c r="Q155" s="132"/>
      <c r="R155" s="132"/>
    </row>
    <row r="156" spans="1:19" s="31" customFormat="1" x14ac:dyDescent="0.2">
      <c r="A156" s="34" t="s">
        <v>732</v>
      </c>
      <c r="B156" s="4"/>
      <c r="C156" s="3"/>
      <c r="D156" s="172">
        <f t="shared" ref="D156:O156" si="14">IF(SUM(D155,D148,D144,D108,D88,D76,D63)&gt;0,SUM(D155,D148,D144,D108,D88,D76,D63),"")</f>
        <v>45700.426247249306</v>
      </c>
      <c r="E156" s="172">
        <f t="shared" si="14"/>
        <v>43641.241666000002</v>
      </c>
      <c r="F156" s="172">
        <f t="shared" si="14"/>
        <v>75649.121665999992</v>
      </c>
      <c r="G156" s="172">
        <f t="shared" si="14"/>
        <v>64946.301665999992</v>
      </c>
      <c r="H156" s="172">
        <f t="shared" si="14"/>
        <v>76854.194596771937</v>
      </c>
      <c r="I156" s="172">
        <f t="shared" si="14"/>
        <v>74786.451666000008</v>
      </c>
      <c r="J156" s="172">
        <f t="shared" si="14"/>
        <v>79371.802831741079</v>
      </c>
      <c r="K156" s="172">
        <f t="shared" si="14"/>
        <v>66042.701666000008</v>
      </c>
      <c r="L156" s="172">
        <f t="shared" si="14"/>
        <v>74393.62266600001</v>
      </c>
      <c r="M156" s="172">
        <f t="shared" si="14"/>
        <v>68995.223831741081</v>
      </c>
      <c r="N156" s="172">
        <f t="shared" si="14"/>
        <v>63386.272666000004</v>
      </c>
      <c r="O156" s="172">
        <f t="shared" si="14"/>
        <v>139288.29833600001</v>
      </c>
      <c r="P156" s="95"/>
      <c r="Q156" s="95"/>
      <c r="R156" s="95"/>
    </row>
    <row r="157" spans="1:19" s="31" customFormat="1" x14ac:dyDescent="0.2">
      <c r="A157" s="34"/>
      <c r="B157" s="4"/>
      <c r="C157" s="3"/>
      <c r="D157" s="46"/>
      <c r="E157" s="46"/>
      <c r="F157" s="46"/>
      <c r="G157" s="46"/>
      <c r="H157" s="46"/>
      <c r="I157" s="46"/>
      <c r="J157" s="46"/>
      <c r="K157" s="46"/>
      <c r="L157" s="46"/>
      <c r="M157" s="46"/>
      <c r="N157" s="46"/>
      <c r="O157" s="46"/>
      <c r="P157" s="95"/>
      <c r="Q157" s="95"/>
      <c r="R157" s="95"/>
    </row>
    <row r="158" spans="1:19" s="31" customFormat="1" x14ac:dyDescent="0.2">
      <c r="A158" s="36"/>
      <c r="B158" s="34" t="s">
        <v>824</v>
      </c>
      <c r="C158" s="3"/>
      <c r="D158" s="95"/>
      <c r="E158" s="104"/>
      <c r="F158" s="104"/>
      <c r="G158" s="95"/>
      <c r="H158" s="95"/>
      <c r="I158" s="95"/>
      <c r="J158" s="95"/>
      <c r="K158" s="95"/>
      <c r="L158" s="95"/>
      <c r="M158" s="95"/>
      <c r="N158" s="95"/>
      <c r="O158" s="95"/>
      <c r="P158" s="95"/>
      <c r="Q158" s="95"/>
      <c r="R158" s="95"/>
    </row>
    <row r="159" spans="1:19" s="31" customFormat="1" x14ac:dyDescent="0.2">
      <c r="A159" s="36"/>
      <c r="B159" s="66"/>
      <c r="C159" s="66" t="str">
        <f>'Cash Flow %s Yr1'!C158</f>
        <v>Cash balance at previous year end</v>
      </c>
      <c r="D159" s="64">
        <v>89155</v>
      </c>
      <c r="E159" s="64"/>
      <c r="F159" s="64"/>
      <c r="G159" s="64"/>
      <c r="H159" s="64"/>
      <c r="I159" s="64"/>
      <c r="J159" s="64"/>
      <c r="K159" s="64"/>
      <c r="L159" s="64"/>
      <c r="M159" s="64"/>
      <c r="N159" s="64"/>
      <c r="O159" s="64"/>
      <c r="P159" s="103"/>
      <c r="Q159" s="103"/>
      <c r="R159" s="103"/>
    </row>
    <row r="160" spans="1:19" s="31" customFormat="1" x14ac:dyDescent="0.2">
      <c r="A160" s="36"/>
      <c r="B160" s="66"/>
      <c r="C160" s="66" t="str">
        <f>'Cash Flow %s Yr1'!C159</f>
        <v>Accounts Receivable</v>
      </c>
      <c r="D160" s="64">
        <f>'Cash Flow %s Yr1'!D159*'Cash Flow %s Yr1'!$T159</f>
        <v>60754.799999999996</v>
      </c>
      <c r="E160" s="64">
        <f>'Cash Flow %s Yr1'!E159*'Cash Flow %s Yr1'!$T159</f>
        <v>25314.5</v>
      </c>
      <c r="F160" s="64">
        <f>'Cash Flow %s Yr1'!F159*'Cash Flow %s Yr1'!$T159</f>
        <v>10125.800000000001</v>
      </c>
      <c r="G160" s="64">
        <f>'Cash Flow %s Yr1'!G159*'Cash Flow %s Yr1'!$T159</f>
        <v>0</v>
      </c>
      <c r="H160" s="64">
        <f>'Cash Flow %s Yr1'!H159*'Cash Flow %s Yr1'!$T159</f>
        <v>0</v>
      </c>
      <c r="I160" s="64">
        <f>'Cash Flow %s Yr1'!I159*'Cash Flow %s Yr1'!$T159</f>
        <v>0</v>
      </c>
      <c r="J160" s="64">
        <f>'Cash Flow %s Yr1'!J159*'Cash Flow %s Yr1'!$T159</f>
        <v>0</v>
      </c>
      <c r="K160" s="64">
        <f>'Cash Flow %s Yr1'!K159*'Cash Flow %s Yr1'!$T159</f>
        <v>0</v>
      </c>
      <c r="L160" s="64">
        <f>'Cash Flow %s Yr1'!L159*'Cash Flow %s Yr1'!$T159</f>
        <v>0</v>
      </c>
      <c r="M160" s="64">
        <f>'Cash Flow %s Yr1'!M159*'Cash Flow %s Yr1'!$T159</f>
        <v>0</v>
      </c>
      <c r="N160" s="64">
        <f>'Cash Flow %s Yr1'!N159*'Cash Flow %s Yr1'!$T159</f>
        <v>0</v>
      </c>
      <c r="O160" s="64">
        <f>'Cash Flow %s Yr1'!O159*'Cash Flow %s Yr1'!$T159</f>
        <v>0</v>
      </c>
      <c r="P160" s="191">
        <f>P51</f>
        <v>4943.9049999999997</v>
      </c>
      <c r="Q160" s="191">
        <f>Q51</f>
        <v>9575.4500000000007</v>
      </c>
      <c r="R160" s="191">
        <f>R51</f>
        <v>0</v>
      </c>
    </row>
    <row r="161" spans="1:18" s="31" customFormat="1" x14ac:dyDescent="0.2">
      <c r="A161" s="36"/>
      <c r="B161" s="66"/>
      <c r="C161" s="66" t="str">
        <f>'Cash Flow %s Yr1'!C160</f>
        <v>Accounts Payable</v>
      </c>
      <c r="D161" s="64">
        <f>'Cash Flow %s Yr1'!D160*'Cash Flow %s Yr1'!$T160</f>
        <v>72285.5</v>
      </c>
      <c r="E161" s="64">
        <f>'Cash Flow %s Yr1'!E160*'Cash Flow %s Yr1'!$T160</f>
        <v>28914.2</v>
      </c>
      <c r="F161" s="64">
        <f>'Cash Flow %s Yr1'!F160*'Cash Flow %s Yr1'!$T160</f>
        <v>0</v>
      </c>
      <c r="G161" s="64">
        <f>'Cash Flow %s Yr1'!G160*'Cash Flow %s Yr1'!$T160</f>
        <v>0</v>
      </c>
      <c r="H161" s="64">
        <f>'Cash Flow %s Yr1'!H160*'Cash Flow %s Yr1'!$T160</f>
        <v>0</v>
      </c>
      <c r="I161" s="64">
        <f>'Cash Flow %s Yr1'!I160*'Cash Flow %s Yr1'!$T160</f>
        <v>0</v>
      </c>
      <c r="J161" s="64">
        <f>'Cash Flow %s Yr1'!J160*'Cash Flow %s Yr1'!$T160</f>
        <v>0</v>
      </c>
      <c r="K161" s="64">
        <f>'Cash Flow %s Yr1'!K160*'Cash Flow %s Yr1'!$T160</f>
        <v>0</v>
      </c>
      <c r="L161" s="64">
        <f>'Cash Flow %s Yr1'!L160*'Cash Flow %s Yr1'!$T160</f>
        <v>0</v>
      </c>
      <c r="M161" s="64">
        <f>'Cash Flow %s Yr1'!M160*'Cash Flow %s Yr1'!$T160</f>
        <v>0</v>
      </c>
      <c r="N161" s="64">
        <f>'Cash Flow %s Yr1'!N160*'Cash Flow %s Yr1'!$T160</f>
        <v>0</v>
      </c>
      <c r="O161" s="64">
        <f>'Cash Flow %s Yr1'!O160*'Cash Flow %s Yr1'!$T160</f>
        <v>0</v>
      </c>
      <c r="P161" s="103"/>
      <c r="Q161" s="103"/>
      <c r="R161" s="103"/>
    </row>
    <row r="162" spans="1:18" s="31" customFormat="1" x14ac:dyDescent="0.2">
      <c r="A162" s="36"/>
      <c r="B162" s="66"/>
      <c r="C162" s="66" t="str">
        <f>'Cash Flow %s Yr1'!C161</f>
        <v>Loan Principal Payable</v>
      </c>
      <c r="D162" s="64">
        <f>'Cash Flow %s Yr1'!D161*'Cash Flow %s Yr1'!$T161</f>
        <v>0</v>
      </c>
      <c r="E162" s="64">
        <f>'Cash Flow %s Yr1'!E161*'Cash Flow %s Yr1'!$T161</f>
        <v>0</v>
      </c>
      <c r="F162" s="64">
        <f>'Cash Flow %s Yr1'!F161*'Cash Flow %s Yr1'!$T161</f>
        <v>0</v>
      </c>
      <c r="G162" s="64">
        <f>'Cash Flow %s Yr1'!G161*'Cash Flow %s Yr1'!$T161</f>
        <v>0</v>
      </c>
      <c r="H162" s="64">
        <f>'Cash Flow %s Yr1'!H161*'Cash Flow %s Yr1'!$T161</f>
        <v>0</v>
      </c>
      <c r="I162" s="64">
        <f>'Cash Flow %s Yr1'!I161*'Cash Flow %s Yr1'!$T161</f>
        <v>0</v>
      </c>
      <c r="J162" s="64">
        <f>'Cash Flow %s Yr1'!J161*'Cash Flow %s Yr1'!$T161</f>
        <v>0</v>
      </c>
      <c r="K162" s="64">
        <f>'Cash Flow %s Yr1'!K161*'Cash Flow %s Yr1'!$T161</f>
        <v>0</v>
      </c>
      <c r="L162" s="64">
        <f>'Cash Flow %s Yr1'!L161*'Cash Flow %s Yr1'!$T161</f>
        <v>0</v>
      </c>
      <c r="M162" s="64">
        <f>'Cash Flow %s Yr1'!M161*'Cash Flow %s Yr1'!$T161</f>
        <v>0</v>
      </c>
      <c r="N162" s="64">
        <f>'Cash Flow %s Yr1'!N161*'Cash Flow %s Yr1'!$T161</f>
        <v>0</v>
      </c>
      <c r="O162" s="64">
        <f>'Cash Flow %s Yr1'!O161*'Cash Flow %s Yr1'!$T161</f>
        <v>0</v>
      </c>
      <c r="P162" s="103"/>
      <c r="Q162" s="103"/>
      <c r="R162" s="103"/>
    </row>
    <row r="163" spans="1:18" s="31" customFormat="1" x14ac:dyDescent="0.2">
      <c r="A163" s="36"/>
      <c r="B163" s="124"/>
      <c r="C163" s="34" t="s">
        <v>725</v>
      </c>
      <c r="D163" s="85">
        <f>D159+D160-D161-D162</f>
        <v>77624.299999999988</v>
      </c>
      <c r="E163" s="85">
        <f t="shared" ref="E163:O163" si="15">E159+E160-E161-E162</f>
        <v>-3599.7000000000007</v>
      </c>
      <c r="F163" s="85">
        <f t="shared" si="15"/>
        <v>10125.800000000001</v>
      </c>
      <c r="G163" s="85">
        <f t="shared" si="15"/>
        <v>0</v>
      </c>
      <c r="H163" s="85">
        <f t="shared" si="15"/>
        <v>0</v>
      </c>
      <c r="I163" s="85">
        <f t="shared" si="15"/>
        <v>0</v>
      </c>
      <c r="J163" s="85">
        <f t="shared" si="15"/>
        <v>0</v>
      </c>
      <c r="K163" s="85">
        <f t="shared" si="15"/>
        <v>0</v>
      </c>
      <c r="L163" s="85">
        <f t="shared" si="15"/>
        <v>0</v>
      </c>
      <c r="M163" s="85">
        <f t="shared" si="15"/>
        <v>0</v>
      </c>
      <c r="N163" s="85">
        <f t="shared" si="15"/>
        <v>0</v>
      </c>
      <c r="O163" s="85">
        <f t="shared" si="15"/>
        <v>0</v>
      </c>
      <c r="P163" s="108"/>
      <c r="Q163" s="108"/>
      <c r="R163" s="108"/>
    </row>
    <row r="164" spans="1:18" s="40" customFormat="1" ht="17" thickBot="1" x14ac:dyDescent="0.25">
      <c r="A164" s="36"/>
      <c r="C164" s="1"/>
      <c r="D164" s="95"/>
      <c r="E164" s="95"/>
      <c r="F164" s="95"/>
      <c r="G164" s="95"/>
      <c r="H164" s="95"/>
      <c r="I164" s="95"/>
      <c r="J164" s="95"/>
      <c r="K164" s="95"/>
      <c r="L164" s="95"/>
      <c r="M164" s="95"/>
      <c r="N164" s="95"/>
      <c r="O164" s="95"/>
      <c r="P164" s="95"/>
      <c r="Q164" s="95"/>
      <c r="R164" s="95"/>
    </row>
    <row r="165" spans="1:18" s="40" customFormat="1" ht="17" thickBot="1" x14ac:dyDescent="0.25">
      <c r="A165" s="74" t="s">
        <v>831</v>
      </c>
      <c r="B165" s="131"/>
      <c r="C165" s="75"/>
      <c r="D165" s="151">
        <f t="shared" ref="D165:O165" si="16">D51-D156</f>
        <v>-5907.2177605826437</v>
      </c>
      <c r="E165" s="151">
        <f t="shared" si="16"/>
        <v>15459.740307333326</v>
      </c>
      <c r="F165" s="151">
        <f t="shared" si="16"/>
        <v>26422.08909400001</v>
      </c>
      <c r="G165" s="151">
        <f t="shared" si="16"/>
        <v>-178.59090599999035</v>
      </c>
      <c r="H165" s="151">
        <f t="shared" si="16"/>
        <v>-2511.0338367719378</v>
      </c>
      <c r="I165" s="151">
        <f t="shared" si="16"/>
        <v>82731.764093999984</v>
      </c>
      <c r="J165" s="151">
        <f t="shared" si="16"/>
        <v>-13587.89207174108</v>
      </c>
      <c r="K165" s="151">
        <f t="shared" si="16"/>
        <v>37755.370913999985</v>
      </c>
      <c r="L165" s="151">
        <f t="shared" si="16"/>
        <v>43463.548624000003</v>
      </c>
      <c r="M165" s="151">
        <f t="shared" si="16"/>
        <v>1901.2524582589249</v>
      </c>
      <c r="N165" s="151">
        <f t="shared" si="16"/>
        <v>12141.748624</v>
      </c>
      <c r="O165" s="152">
        <f t="shared" si="16"/>
        <v>-34310.527046000003</v>
      </c>
      <c r="P165" s="95"/>
      <c r="Q165" s="95"/>
      <c r="R165" s="95"/>
    </row>
    <row r="166" spans="1:18" s="40" customFormat="1" ht="17" thickBot="1" x14ac:dyDescent="0.25">
      <c r="A166" s="36"/>
      <c r="C166" s="1"/>
      <c r="D166" s="153"/>
      <c r="E166" s="153"/>
      <c r="F166" s="153"/>
      <c r="G166" s="153"/>
      <c r="H166" s="153"/>
      <c r="I166" s="153"/>
      <c r="J166" s="153"/>
      <c r="K166" s="153"/>
      <c r="L166" s="153"/>
      <c r="M166" s="153"/>
      <c r="N166" s="153"/>
      <c r="O166" s="153"/>
      <c r="P166" s="95"/>
      <c r="Q166" s="95"/>
      <c r="R166" s="95"/>
    </row>
    <row r="167" spans="1:18" s="40" customFormat="1" ht="17" thickBot="1" x14ac:dyDescent="0.25">
      <c r="A167" s="74" t="s">
        <v>822</v>
      </c>
      <c r="B167" s="131"/>
      <c r="C167" s="75"/>
      <c r="D167" s="151">
        <f>D163+D165</f>
        <v>71717.082239417345</v>
      </c>
      <c r="E167" s="151">
        <f t="shared" ref="E167:O167" si="17">E163+E165</f>
        <v>11860.040307333325</v>
      </c>
      <c r="F167" s="151">
        <f t="shared" si="17"/>
        <v>36547.889094000013</v>
      </c>
      <c r="G167" s="151">
        <f t="shared" si="17"/>
        <v>-178.59090599999035</v>
      </c>
      <c r="H167" s="151">
        <f t="shared" si="17"/>
        <v>-2511.0338367719378</v>
      </c>
      <c r="I167" s="151">
        <f t="shared" si="17"/>
        <v>82731.764093999984</v>
      </c>
      <c r="J167" s="151">
        <f t="shared" si="17"/>
        <v>-13587.89207174108</v>
      </c>
      <c r="K167" s="151">
        <f t="shared" si="17"/>
        <v>37755.370913999985</v>
      </c>
      <c r="L167" s="151">
        <f t="shared" si="17"/>
        <v>43463.548624000003</v>
      </c>
      <c r="M167" s="151">
        <f t="shared" si="17"/>
        <v>1901.2524582589249</v>
      </c>
      <c r="N167" s="151">
        <f t="shared" si="17"/>
        <v>12141.748624</v>
      </c>
      <c r="O167" s="152">
        <f t="shared" si="17"/>
        <v>-34310.527046000003</v>
      </c>
      <c r="P167" s="95"/>
      <c r="Q167" s="95"/>
      <c r="R167" s="95"/>
    </row>
    <row r="168" spans="1:18" s="40" customFormat="1" ht="17" thickBot="1" x14ac:dyDescent="0.25">
      <c r="A168" s="36"/>
      <c r="C168" s="1"/>
      <c r="D168" s="95"/>
      <c r="E168" s="95"/>
      <c r="F168" s="95"/>
      <c r="G168" s="95"/>
      <c r="H168" s="95"/>
      <c r="I168" s="95"/>
      <c r="J168" s="95"/>
      <c r="K168" s="95"/>
      <c r="L168" s="95"/>
      <c r="M168" s="95"/>
      <c r="N168" s="95"/>
      <c r="O168" s="95"/>
      <c r="P168" s="95"/>
      <c r="Q168" s="95"/>
      <c r="R168" s="95"/>
    </row>
    <row r="169" spans="1:18" s="40" customFormat="1" ht="17" thickBot="1" x14ac:dyDescent="0.25">
      <c r="A169" s="74" t="s">
        <v>832</v>
      </c>
      <c r="B169" s="131"/>
      <c r="C169" s="75"/>
      <c r="D169" s="151">
        <f>D167</f>
        <v>71717.082239417345</v>
      </c>
      <c r="E169" s="151">
        <f>D169+E167</f>
        <v>83577.122546750674</v>
      </c>
      <c r="F169" s="151">
        <f t="shared" ref="F169:O169" si="18">E169+F167</f>
        <v>120125.01164075069</v>
      </c>
      <c r="G169" s="151">
        <f t="shared" si="18"/>
        <v>119946.42073475069</v>
      </c>
      <c r="H169" s="151">
        <f t="shared" si="18"/>
        <v>117435.38689797875</v>
      </c>
      <c r="I169" s="151">
        <f t="shared" si="18"/>
        <v>200167.15099197873</v>
      </c>
      <c r="J169" s="151">
        <f t="shared" si="18"/>
        <v>186579.25892023765</v>
      </c>
      <c r="K169" s="151">
        <f t="shared" si="18"/>
        <v>224334.62983423762</v>
      </c>
      <c r="L169" s="151">
        <f t="shared" si="18"/>
        <v>267798.17845823761</v>
      </c>
      <c r="M169" s="151">
        <f t="shared" si="18"/>
        <v>269699.43091649655</v>
      </c>
      <c r="N169" s="151">
        <f t="shared" si="18"/>
        <v>281841.17954049655</v>
      </c>
      <c r="O169" s="152">
        <f t="shared" si="18"/>
        <v>247530.65249449655</v>
      </c>
      <c r="P169" s="95"/>
      <c r="Q169" s="95"/>
      <c r="R169" s="95"/>
    </row>
    <row r="170" spans="1:18" s="40" customFormat="1" x14ac:dyDescent="0.2">
      <c r="A170" s="36"/>
      <c r="C170" s="1"/>
      <c r="D170" s="95"/>
      <c r="E170" s="95"/>
      <c r="F170" s="95"/>
      <c r="G170" s="95"/>
      <c r="H170" s="95"/>
      <c r="I170" s="95"/>
      <c r="J170" s="95"/>
      <c r="K170" s="95"/>
      <c r="L170" s="95"/>
      <c r="M170" s="95"/>
      <c r="N170" s="95"/>
      <c r="O170" s="95"/>
      <c r="P170" s="95"/>
      <c r="Q170" s="95"/>
      <c r="R170" s="95"/>
    </row>
    <row r="171" spans="1:18" s="40" customFormat="1" x14ac:dyDescent="0.2">
      <c r="A171" s="36"/>
      <c r="C171" s="1"/>
      <c r="D171" s="95"/>
      <c r="E171" s="95"/>
      <c r="F171" s="95"/>
      <c r="G171" s="95"/>
      <c r="H171" s="95"/>
      <c r="I171" s="95"/>
      <c r="J171" s="95"/>
      <c r="K171" s="95"/>
      <c r="L171" s="95"/>
      <c r="M171" s="95"/>
      <c r="N171" s="95"/>
      <c r="O171" s="95"/>
      <c r="P171" s="95"/>
      <c r="Q171" s="95"/>
      <c r="R171" s="95"/>
    </row>
    <row r="172" spans="1:18" s="40" customFormat="1" x14ac:dyDescent="0.2">
      <c r="A172" s="36"/>
      <c r="C172" s="1"/>
      <c r="D172" s="95"/>
      <c r="E172" s="95"/>
      <c r="F172" s="95"/>
      <c r="G172" s="95"/>
      <c r="H172" s="95"/>
      <c r="I172" s="95"/>
      <c r="J172" s="95"/>
      <c r="K172" s="95"/>
      <c r="L172" s="95"/>
      <c r="M172" s="95"/>
      <c r="N172" s="95"/>
      <c r="O172" s="95"/>
      <c r="P172" s="95"/>
      <c r="Q172" s="95"/>
      <c r="R172" s="95"/>
    </row>
  </sheetData>
  <pageMargins left="0.25" right="0.25" top="0.5" bottom="0.5" header="0.25" footer="0.25"/>
  <pageSetup scale="52" fitToHeight="3" orientation="landscape" r:id="rId1"/>
  <headerFooter alignWithMargins="0">
    <oddHeader>&amp;A</oddHead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Budget Summary</vt:lpstr>
      <vt:lpstr>Student Info</vt:lpstr>
      <vt:lpstr>Revenue Input</vt:lpstr>
      <vt:lpstr>LCFF</vt:lpstr>
      <vt:lpstr>Expenses Input</vt:lpstr>
      <vt:lpstr>Expenses Summary</vt:lpstr>
      <vt:lpstr>Employee Input 15-16</vt:lpstr>
      <vt:lpstr>Cash Flow %s Yr1</vt:lpstr>
      <vt:lpstr>Cash Flow $s Yr1</vt:lpstr>
      <vt:lpstr>Fiscal_Sets</vt:lpstr>
      <vt:lpstr>Employee Input 16-17</vt:lpstr>
      <vt:lpstr>Cash Flow %s Yr2</vt:lpstr>
      <vt:lpstr>Cash Flow $s Yr2</vt:lpstr>
      <vt:lpstr>Employee Input 17-18</vt:lpstr>
      <vt:lpstr>Cash Flow %s Yr3</vt:lpstr>
      <vt:lpstr>Cash Flow $s Yr3</vt:lpstr>
      <vt:lpstr>Employee Input 18-19</vt:lpstr>
      <vt:lpstr>Cash Flow %s Yr4</vt:lpstr>
      <vt:lpstr>Cash Flow $s Yr4</vt:lpstr>
      <vt:lpstr>Employee Input 19-20</vt:lpstr>
      <vt:lpstr>Cash Flow %s Yr5</vt:lpstr>
      <vt:lpstr>Cash Flow $s Yr5</vt:lpstr>
      <vt:lpstr>Cash Flow graphs</vt:lpstr>
      <vt:lpstr>CSMC COA</vt:lpstr>
      <vt:lpstr>CSMC Personnel Codes</vt:lpstr>
      <vt:lpstr>SACS Object Codes</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dc:creator>
  <cp:lastModifiedBy>Microsoft Office User</cp:lastModifiedBy>
  <cp:lastPrinted>2015-12-09T05:42:10Z</cp:lastPrinted>
  <dcterms:created xsi:type="dcterms:W3CDTF">2010-08-31T18:00:39Z</dcterms:created>
  <dcterms:modified xsi:type="dcterms:W3CDTF">2016-06-15T23:25:41Z</dcterms:modified>
</cp:coreProperties>
</file>